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640" windowWidth="24880" windowHeight="14820" tabRatio="599" activeTab="0"/>
  </bookViews>
  <sheets>
    <sheet name="Cover" sheetId="1" r:id="rId1"/>
    <sheet name="Assumptions" sheetId="2" r:id="rId2"/>
    <sheet name="Budget" sheetId="3" r:id="rId3"/>
    <sheet name="BudgetSummary" sheetId="4" r:id="rId4"/>
    <sheet name="Returns" sheetId="5" r:id="rId5"/>
    <sheet name="Machinery" sheetId="6" r:id="rId6"/>
    <sheet name="ProductionSequence" sheetId="7" r:id="rId7"/>
  </sheets>
  <definedNames>
    <definedName name="_xlnm.Print_Area" localSheetId="1">'Assumptions'!$A$1:$I$52</definedName>
    <definedName name="_xlnm.Print_Area" localSheetId="5">'Machinery'!$A$1:$U$27</definedName>
    <definedName name="_xlnm.Print_Area" localSheetId="6">'ProductionSequence'!$A$1:$P$90</definedName>
    <definedName name="_xlnm.Print_Area" localSheetId="4">'Returns'!$B$1:$J$13</definedName>
  </definedNames>
  <calcPr fullCalcOnLoad="1"/>
</workbook>
</file>

<file path=xl/sharedStrings.xml><?xml version="1.0" encoding="utf-8"?>
<sst xmlns="http://schemas.openxmlformats.org/spreadsheetml/2006/main" count="1039" uniqueCount="394">
  <si>
    <t>November</t>
  </si>
  <si>
    <t>December</t>
  </si>
  <si>
    <t xml:space="preserve"> </t>
  </si>
  <si>
    <t>Month</t>
  </si>
  <si>
    <t>Materials used</t>
  </si>
  <si>
    <t>Labor used</t>
  </si>
  <si>
    <t>Summary</t>
  </si>
  <si>
    <t>Cumulative</t>
  </si>
  <si>
    <t>hrs</t>
  </si>
  <si>
    <t>cost/hr</t>
  </si>
  <si>
    <t>eqcost</t>
  </si>
  <si>
    <t>price</t>
  </si>
  <si>
    <t xml:space="preserve">unit </t>
  </si>
  <si>
    <t>matcost</t>
  </si>
  <si>
    <t>cost</t>
  </si>
  <si>
    <t>costs</t>
  </si>
  <si>
    <t>October</t>
  </si>
  <si>
    <t>May</t>
  </si>
  <si>
    <t>Taxes</t>
  </si>
  <si>
    <t>Real Estate Taxes</t>
  </si>
  <si>
    <t>Net Land Rent</t>
  </si>
  <si>
    <t>Annual</t>
  </si>
  <si>
    <t>Overhead</t>
  </si>
  <si>
    <t>Annual Administrative Costs + Taxes</t>
  </si>
  <si>
    <t>Total Annual Administrative Costs + Taxes</t>
  </si>
  <si>
    <t>April</t>
  </si>
  <si>
    <t>lbs</t>
  </si>
  <si>
    <t>February</t>
  </si>
  <si>
    <t>January</t>
  </si>
  <si>
    <t>March</t>
  </si>
  <si>
    <t>June</t>
  </si>
  <si>
    <t>Total June</t>
  </si>
  <si>
    <t>July</t>
  </si>
  <si>
    <t>August</t>
  </si>
  <si>
    <t>September</t>
  </si>
  <si>
    <t>oz</t>
  </si>
  <si>
    <t>Equipment</t>
  </si>
  <si>
    <t>Materials</t>
  </si>
  <si>
    <t>Labor</t>
  </si>
  <si>
    <t>Total</t>
  </si>
  <si>
    <t>Material</t>
  </si>
  <si>
    <t>2400' roll</t>
  </si>
  <si>
    <t>6000ft</t>
  </si>
  <si>
    <t>Machinery Description</t>
  </si>
  <si>
    <t>Purchase Price</t>
  </si>
  <si>
    <t>Salvage Value</t>
  </si>
  <si>
    <t>Years of Life</t>
  </si>
  <si>
    <t>Depreciation</t>
  </si>
  <si>
    <t>Insurance</t>
  </si>
  <si>
    <t>Interest</t>
  </si>
  <si>
    <t>Total Ownership Cost / Year</t>
  </si>
  <si>
    <t>Total Annual Operating Costs</t>
  </si>
  <si>
    <t>Tractor, 30hp</t>
  </si>
  <si>
    <t>30 HP</t>
  </si>
  <si>
    <t>Tractor, 60hp</t>
  </si>
  <si>
    <t>60 HP</t>
  </si>
  <si>
    <t>9' Disc</t>
  </si>
  <si>
    <t>1/2 Ton Pickup</t>
  </si>
  <si>
    <t>Fertilizer Injector</t>
  </si>
  <si>
    <t>Plastic film</t>
  </si>
  <si>
    <t>Drip tape</t>
  </si>
  <si>
    <t>2 row - 40"/row</t>
  </si>
  <si>
    <t>110 gal</t>
  </si>
  <si>
    <t>Costs</t>
  </si>
  <si>
    <t>Annual Charges</t>
  </si>
  <si>
    <t>Monthly Labor Estimates</t>
  </si>
  <si>
    <t>(Hours)</t>
  </si>
  <si>
    <t>1 acre</t>
  </si>
  <si>
    <t>-</t>
  </si>
  <si>
    <t>Loan Interest Rate</t>
  </si>
  <si>
    <t>Insurance Rate</t>
  </si>
  <si>
    <t>Tax Rate</t>
  </si>
  <si>
    <t>Tractor 30 hp (D)</t>
  </si>
  <si>
    <t>Tractor 60 hp (D)</t>
  </si>
  <si>
    <t>Utility Vehicle (G)</t>
  </si>
  <si>
    <t>Annual Hours of Use</t>
  </si>
  <si>
    <t>$/lb</t>
  </si>
  <si>
    <t>Your</t>
  </si>
  <si>
    <t>Type of Operation</t>
  </si>
  <si>
    <t>pounds,  or</t>
  </si>
  <si>
    <t xml:space="preserve">   (Marketable Yield =</t>
  </si>
  <si>
    <t>Marketing Assumptions:</t>
  </si>
  <si>
    <t>Harvest Labor Cost</t>
  </si>
  <si>
    <t xml:space="preserve">Production Labor </t>
  </si>
  <si>
    <t>Selected Input prices:</t>
  </si>
  <si>
    <t>Capital Recovery</t>
  </si>
  <si>
    <t>Fixed   Cost/Hr</t>
  </si>
  <si>
    <t>Variable Cost/Hr</t>
  </si>
  <si>
    <t>Annual Depreciation</t>
  </si>
  <si>
    <t>Annual Fuel &amp; Lubricant Costs</t>
  </si>
  <si>
    <t>Repair &amp; Maintenance Cost</t>
  </si>
  <si>
    <t>Estimated Annual Total Cost/Yr</t>
  </si>
  <si>
    <t xml:space="preserve">Total   Cost/Hr </t>
  </si>
  <si>
    <t>Vehicle Description</t>
  </si>
  <si>
    <t>Estimated Fuel Price        ($/gal)</t>
  </si>
  <si>
    <t>Estimated Fuel Used per Hour (gals)</t>
  </si>
  <si>
    <t>Lubricants as a Percent of Fuel Cost</t>
  </si>
  <si>
    <t>Estimated Average Speed</t>
  </si>
  <si>
    <t>Estimated Fuel Cost/Hour</t>
  </si>
  <si>
    <t>Estimated Lubricant Cost/Hour</t>
  </si>
  <si>
    <t>Total Estimated Fuel &amp; Lube Cost/Hour</t>
  </si>
  <si>
    <t>This budget is only a guide and is not meant to be a substitute for growers calculating their own costs and estimating their own breakeven yields. Costs vary from grower to grower due to market conditions, labor supply, age and condition of the machinery and equipment, managerial skill, and many other factors. Since every situation is different, it is recommended that every grower estimate their individual production, harvesting and marketing costs based on their own production techniques, price expectations, local supply of labor, and market situation.</t>
  </si>
  <si>
    <t>It is also recommended that growers develop a marketing plan and have a marketing strategy before investing in a commercial operation. Production of high value produce is a risky business and the risk increases without a stable marketing outlet. In extreme cases, growers have experienced financial losses when they were not able to find a suitable market outlet and/or when they did not meet the buyer’s expectations.</t>
  </si>
  <si>
    <t>Budgeting Program Developed By:</t>
  </si>
  <si>
    <t>1/2 Ton Pickup (G)</t>
  </si>
  <si>
    <t>Owner Expense</t>
  </si>
  <si>
    <t>Employee Expense</t>
  </si>
  <si>
    <t xml:space="preserve"> pounds/acre</t>
  </si>
  <si>
    <t>Fuel and Lubricant Costs</t>
  </si>
  <si>
    <t>Estimated Average Mileage per Gallon</t>
  </si>
  <si>
    <t>Machinery and Vehicle by Fuel Type</t>
  </si>
  <si>
    <t>Subsoiler</t>
  </si>
  <si>
    <t>Rotary Spreader</t>
  </si>
  <si>
    <t>60 HP-WT &amp; Water Wheel</t>
  </si>
  <si>
    <t>pt</t>
  </si>
  <si>
    <t>ton</t>
  </si>
  <si>
    <t>Plastic Mulch Lifter</t>
  </si>
  <si>
    <t>Grain Drill</t>
  </si>
  <si>
    <t>Gasoline price</t>
  </si>
  <si>
    <t>Diesel price</t>
  </si>
  <si>
    <t>Total per Year</t>
  </si>
  <si>
    <t>Percent</t>
  </si>
  <si>
    <t>gal</t>
  </si>
  <si>
    <t>60 HP-WT &amp; Subsoiler</t>
  </si>
  <si>
    <t>60 HP-WT &amp; Rototiller</t>
  </si>
  <si>
    <t>Rototiller</t>
  </si>
  <si>
    <t>North Carolina State University, Raleigh, NC 27695-8109</t>
  </si>
  <si>
    <t>Researcher, Department of Agricultural and Resource Economics</t>
  </si>
  <si>
    <t xml:space="preserve">The values in the blue cells of the spreadsheets with red tabs are input values that users can either accept or </t>
  </si>
  <si>
    <t xml:space="preserve">replace with their own estimates. The values in all other cells are calculated based on the inputted values.  </t>
  </si>
  <si>
    <t xml:space="preserve">Users can receive a quick estimate of their costs and returns by entering their own estimates for the selected </t>
  </si>
  <si>
    <r>
      <t xml:space="preserve">"key" values displayed in the </t>
    </r>
    <r>
      <rPr>
        <i/>
        <sz val="10"/>
        <rFont val="Arial"/>
        <family val="2"/>
      </rPr>
      <t>Assumptions</t>
    </r>
    <r>
      <rPr>
        <sz val="10"/>
        <rFont val="Arial"/>
        <family val="0"/>
      </rPr>
      <t xml:space="preserve"> worksheet, while  those who would like more detailed estimates</t>
    </r>
  </si>
  <si>
    <t>Type operation</t>
  </si>
  <si>
    <t>Equipment used</t>
  </si>
  <si>
    <t>description</t>
  </si>
  <si>
    <t>qt</t>
  </si>
  <si>
    <t>LAND PREPARATION STAGE</t>
  </si>
  <si>
    <t xml:space="preserve"> wk 1</t>
  </si>
  <si>
    <t>Remove plastic from previous crop</t>
  </si>
  <si>
    <t>Hand</t>
  </si>
  <si>
    <t>wk 2</t>
  </si>
  <si>
    <t xml:space="preserve">Custom </t>
  </si>
  <si>
    <t>TOTAL June</t>
  </si>
  <si>
    <t>PRE-PLANT STAGE</t>
  </si>
  <si>
    <t>wk 1</t>
  </si>
  <si>
    <t>Subsoiling</t>
  </si>
  <si>
    <t>wk 3</t>
  </si>
  <si>
    <t>TOTAL August</t>
  </si>
  <si>
    <t>TRANS-PLANT STAGE</t>
  </si>
  <si>
    <t>wk 4</t>
  </si>
  <si>
    <t xml:space="preserve">Transplant plugs </t>
  </si>
  <si>
    <t>TOTAL September</t>
  </si>
  <si>
    <t>Replant (2%)</t>
  </si>
  <si>
    <t>Tissue sample</t>
  </si>
  <si>
    <t>kit</t>
  </si>
  <si>
    <t>Winterize drip system</t>
  </si>
  <si>
    <t>TOTAL October</t>
  </si>
  <si>
    <t>Apply floating row covers</t>
  </si>
  <si>
    <t>Apply row cover hold downs</t>
  </si>
  <si>
    <t>TOTAL November</t>
  </si>
  <si>
    <t>DORMANT STAGE</t>
  </si>
  <si>
    <t>Remove row cover</t>
  </si>
  <si>
    <t>Clean and weed beds</t>
  </si>
  <si>
    <t>TOTAL December</t>
  </si>
  <si>
    <t>Spotrete</t>
  </si>
  <si>
    <t>TOTAL January</t>
  </si>
  <si>
    <t>Scout for insects, mites</t>
  </si>
  <si>
    <t>PRE-HARVEST STAGE</t>
  </si>
  <si>
    <t>Pull plants through plastic</t>
  </si>
  <si>
    <t>Connect drip system</t>
  </si>
  <si>
    <t>Check irrigation system</t>
  </si>
  <si>
    <t>Scout for strawberry weevil</t>
  </si>
  <si>
    <t>TOTAL February</t>
  </si>
  <si>
    <t>Pull plants and weed</t>
  </si>
  <si>
    <t>Inject fertilizer</t>
  </si>
  <si>
    <t>Sul-Po-Mg</t>
  </si>
  <si>
    <t>Re-apply row covers</t>
  </si>
  <si>
    <t>Rental</t>
  </si>
  <si>
    <t>hive</t>
  </si>
  <si>
    <t>TOTAL March</t>
  </si>
  <si>
    <t>HARVEST STAGE</t>
  </si>
  <si>
    <t>Pre-pick harvest labor</t>
  </si>
  <si>
    <t>Drip irrigation</t>
  </si>
  <si>
    <t>TOTAL April</t>
  </si>
  <si>
    <t xml:space="preserve">Drip irrigation </t>
  </si>
  <si>
    <t>Dis-assemble irrigation system</t>
  </si>
  <si>
    <t>TOTAL May</t>
  </si>
  <si>
    <t>Cumulative Total</t>
  </si>
  <si>
    <t xml:space="preserve">Costs of Producing, Harvesting and Marketing Strawberries  </t>
  </si>
  <si>
    <t>60 HP-WT &amp; Sprayer</t>
  </si>
  <si>
    <t>60 HP-WT &amp; Lifter</t>
  </si>
  <si>
    <t xml:space="preserve">Pickup </t>
  </si>
  <si>
    <t xml:space="preserve">60 HP-WT &amp; Tandem </t>
  </si>
  <si>
    <t>60 HP-WT &amp; Grain drill</t>
  </si>
  <si>
    <t>Lime</t>
  </si>
  <si>
    <t>Soybean</t>
  </si>
  <si>
    <t>Dispose plastic and tape</t>
  </si>
  <si>
    <t>Disk</t>
  </si>
  <si>
    <t>Plant cover crop</t>
  </si>
  <si>
    <t>Rotovate cover crop (x2)</t>
  </si>
  <si>
    <t>Break up soil clods</t>
  </si>
  <si>
    <t>TOTAL LAND PREPARATION STAGE</t>
  </si>
  <si>
    <t>TOTAL PRE-PLANT STAGE</t>
  </si>
  <si>
    <t>30 HP-WT</t>
  </si>
  <si>
    <t>Assemble irrigation system</t>
  </si>
  <si>
    <t>Seed ryegrass in aisles</t>
  </si>
  <si>
    <t>30 HP-WT &amp; Rot Spreader</t>
  </si>
  <si>
    <t>Irrigate plugs (x3)</t>
  </si>
  <si>
    <t>Drip System</t>
  </si>
  <si>
    <t xml:space="preserve">30 HP-WT   </t>
  </si>
  <si>
    <t>TOTAL TRANS-PLANT STAGE</t>
  </si>
  <si>
    <t>TOTAL DORMANT STAGE</t>
  </si>
  <si>
    <t>Apply herbicide to aisles</t>
  </si>
  <si>
    <t>Ridomil Gold EC</t>
  </si>
  <si>
    <t>Calcium nitrate (0.75lb N/day)</t>
  </si>
  <si>
    <t>Pollinate with bees</t>
  </si>
  <si>
    <t>Calcium nitrate (0.75lb N/day) (x2)</t>
  </si>
  <si>
    <t>TOTAL PRE-HARVEST STAGE</t>
  </si>
  <si>
    <t>Potassium nitrate (0.50N/day)</t>
  </si>
  <si>
    <t>Strawberry Base Production Sequence (Per Acre Costs Calculated Based on 5-Acre Production)</t>
  </si>
  <si>
    <t>U-pick supervision</t>
  </si>
  <si>
    <t>Check-out area</t>
  </si>
  <si>
    <t>TOTAL HARVEST STAGE</t>
  </si>
  <si>
    <t>Total Annual</t>
  </si>
  <si>
    <t>Nu Film 17</t>
  </si>
  <si>
    <t>sqr yd</t>
  </si>
  <si>
    <t>Remove dead foliage, weed beds</t>
  </si>
  <si>
    <t>Poast 1.5EC</t>
  </si>
  <si>
    <t>Crop oil concentrate</t>
  </si>
  <si>
    <t>Remove row covers</t>
  </si>
  <si>
    <t>Boron (11% Solubor - 1/8lb/acre)</t>
  </si>
  <si>
    <t>Freeze protection</t>
  </si>
  <si>
    <t>Scout for fire ants, clipper, mites</t>
  </si>
  <si>
    <t xml:space="preserve">wk 3 </t>
  </si>
  <si>
    <t>PTO Blast Sprayer</t>
  </si>
  <si>
    <t>Remove &amp; dispose plastic from previous crop</t>
  </si>
  <si>
    <t>Total August</t>
  </si>
  <si>
    <t>Total September</t>
  </si>
  <si>
    <t>LAND PREPARATION</t>
  </si>
  <si>
    <t>TOTAL LAND PREPARATION</t>
  </si>
  <si>
    <t>PRE-PLANT</t>
  </si>
  <si>
    <t>TOTAL PRE-PLANT</t>
  </si>
  <si>
    <t>TRANS-PLANT</t>
  </si>
  <si>
    <t>This budget presents the estimated costs of producing and harvesting strawberries in the Southeastern United States. The cost estimates are presented on a per acre basis based on five-acre production model. It was also  assumed that the management would be near optimal and that all currently recommended practices by the Agricultural Extension Service would be followed.</t>
  </si>
  <si>
    <t xml:space="preserve">Projected Marketable Yields </t>
  </si>
  <si>
    <t>pounds/plant</t>
  </si>
  <si>
    <t>Plants/acre</t>
  </si>
  <si>
    <t>Harvest week 1</t>
  </si>
  <si>
    <t>Harvest week 2</t>
  </si>
  <si>
    <t>Harvest week 3</t>
  </si>
  <si>
    <t>Harvest week 4</t>
  </si>
  <si>
    <t>Harvest week 5</t>
  </si>
  <si>
    <t>Harvest week 6</t>
  </si>
  <si>
    <t>U-Pick</t>
  </si>
  <si>
    <t>Price</t>
  </si>
  <si>
    <t>Pre-Pick</t>
  </si>
  <si>
    <t>pounds/acre</t>
  </si>
  <si>
    <t>4qt basket</t>
  </si>
  <si>
    <t xml:space="preserve">4qt buckets/acre </t>
  </si>
  <si>
    <t>/4qt basket</t>
  </si>
  <si>
    <t>/pound</t>
  </si>
  <si>
    <t>/hour</t>
  </si>
  <si>
    <t>/gal</t>
  </si>
  <si>
    <t>ESTIMATED STRAWBERRY PRODUCTION COSTS PER ACRE</t>
  </si>
  <si>
    <t>Drip System &amp; Injector</t>
  </si>
  <si>
    <t>OH Irrigation System</t>
  </si>
  <si>
    <t>30 HP-WT &amp; OH Irrigation System</t>
  </si>
  <si>
    <t>Anthracnose spray and deer control</t>
  </si>
  <si>
    <t>Savey</t>
  </si>
  <si>
    <t>TOTAL  PER GROWING SEASON</t>
  </si>
  <si>
    <t>4qt buckets)</t>
  </si>
  <si>
    <t>Drip irrigation (2hx2)</t>
  </si>
  <si>
    <t>Total October</t>
  </si>
  <si>
    <t>Total November</t>
  </si>
  <si>
    <t>Total December</t>
  </si>
  <si>
    <t>Total January</t>
  </si>
  <si>
    <t>TOTAL TRANS-PLANT</t>
  </si>
  <si>
    <t>DORMANT</t>
  </si>
  <si>
    <t>TOTAL DORMANT</t>
  </si>
  <si>
    <t>PRE-HARVEST</t>
  </si>
  <si>
    <t>Total February</t>
  </si>
  <si>
    <t>Tissue sample (x2)</t>
  </si>
  <si>
    <t>Re-apply row covers (x2)</t>
  </si>
  <si>
    <t>Remove row cover (x2)</t>
  </si>
  <si>
    <t>Scout for pests (x2)</t>
  </si>
  <si>
    <t>Spray for pests (x2)</t>
  </si>
  <si>
    <t>Freeze protection (x2)</t>
  </si>
  <si>
    <t>Total March</t>
  </si>
  <si>
    <t>Spray for pests</t>
  </si>
  <si>
    <t>TOTAL PRE-HARVEST</t>
  </si>
  <si>
    <t>HARVEST</t>
  </si>
  <si>
    <t>Inject fertilizer and drip (2hx4)</t>
  </si>
  <si>
    <t>Inject fertilizer and drip (2hx3)</t>
  </si>
  <si>
    <t>Drip irrigation (2h)</t>
  </si>
  <si>
    <t>Inject fertilizer and drip (2h)</t>
  </si>
  <si>
    <t>Total April</t>
  </si>
  <si>
    <t>Inject fertilizer and drip (2hx2)</t>
  </si>
  <si>
    <t>Drip irrigation (12h)</t>
  </si>
  <si>
    <t>Total May</t>
  </si>
  <si>
    <t>TOTAL HARVEST</t>
  </si>
  <si>
    <t>TOTAL  VARIABLE PER GROWING SEASON</t>
  </si>
  <si>
    <t>Annual Administrative Costs and Taxes</t>
  </si>
  <si>
    <t>Total Annual Administrative Costs and Taxes</t>
  </si>
  <si>
    <t>U-pick</t>
  </si>
  <si>
    <t>Pre-pick</t>
  </si>
  <si>
    <t>Marketable yield</t>
  </si>
  <si>
    <t>lbs/acre</t>
  </si>
  <si>
    <t>Market price</t>
  </si>
  <si>
    <t>Gross revenue</t>
  </si>
  <si>
    <t>$/acre</t>
  </si>
  <si>
    <t>Production costs</t>
  </si>
  <si>
    <t>Administrative and taxes</t>
  </si>
  <si>
    <t>Net revenue</t>
  </si>
  <si>
    <t xml:space="preserve">Monthly Cost Estimates </t>
  </si>
  <si>
    <t>Stage</t>
  </si>
  <si>
    <t>Land Preparation</t>
  </si>
  <si>
    <t>Pre-Plant</t>
  </si>
  <si>
    <t>Trans-Plant</t>
  </si>
  <si>
    <t>Dormant</t>
  </si>
  <si>
    <t>Pre-Harvest</t>
  </si>
  <si>
    <t>Harvest</t>
  </si>
  <si>
    <t>Drip Irrigation System</t>
  </si>
  <si>
    <t>Apply compost</t>
  </si>
  <si>
    <t>60 HP-WT &amp; Spreader</t>
  </si>
  <si>
    <t>Compost spreader</t>
  </si>
  <si>
    <t>yd</t>
  </si>
  <si>
    <t>Inoculant</t>
  </si>
  <si>
    <t>Mow cover crop</t>
  </si>
  <si>
    <t>60 HP-WT &amp; Flail mower</t>
  </si>
  <si>
    <t>Set-up misting system</t>
  </si>
  <si>
    <t>Fill trays with soil</t>
  </si>
  <si>
    <t>Trays</t>
  </si>
  <si>
    <t>3 cu ft</t>
  </si>
  <si>
    <t>Mycorrhizae inoculant</t>
  </si>
  <si>
    <t>Vermicompost</t>
  </si>
  <si>
    <t>Moisten soil media</t>
  </si>
  <si>
    <t>Stick runner tips for plugs</t>
  </si>
  <si>
    <t>wk 1-4</t>
  </si>
  <si>
    <t>Irrigate and fertilize plugs</t>
  </si>
  <si>
    <t>Injector</t>
  </si>
  <si>
    <t>lb</t>
  </si>
  <si>
    <t>Hand sprayer</t>
  </si>
  <si>
    <t>Alternative</t>
  </si>
  <si>
    <t>cell</t>
  </si>
  <si>
    <t>4 gal bag</t>
  </si>
  <si>
    <t>Olya Rysin</t>
  </si>
  <si>
    <t>Gramoxone (x2)</t>
  </si>
  <si>
    <t>Treat old crop</t>
  </si>
  <si>
    <t>Soil</t>
  </si>
  <si>
    <t>Spray mites</t>
  </si>
  <si>
    <t>Acramite</t>
  </si>
  <si>
    <t>Inject fungicide</t>
  </si>
  <si>
    <t>Inject fungicide and drip (2h)</t>
  </si>
  <si>
    <t>Captan 50W</t>
  </si>
  <si>
    <t>Dormant spray</t>
  </si>
  <si>
    <t xml:space="preserve">Dormant spray </t>
  </si>
  <si>
    <t>Spray mites and botritis control</t>
  </si>
  <si>
    <t>Treat fireants and botrytis control</t>
  </si>
  <si>
    <t>Elevate</t>
  </si>
  <si>
    <t>Kanemite</t>
  </si>
  <si>
    <t>Spray mites and botrytis control</t>
  </si>
  <si>
    <t>Captan</t>
  </si>
  <si>
    <t>4qt Harvest Basket</t>
  </si>
  <si>
    <t>/each</t>
  </si>
  <si>
    <t>Radiant</t>
  </si>
  <si>
    <t>Botrytis control</t>
  </si>
  <si>
    <t>Cost Estimates by Stages of Production</t>
  </si>
  <si>
    <t>Labor Estimates by Stages of Production</t>
  </si>
  <si>
    <t>Other</t>
  </si>
  <si>
    <t xml:space="preserve"> can fill in the blue cells in the Machinery and ProductionSequence worksheets. </t>
  </si>
  <si>
    <t>The spray schedule in this budget is based on a typical year, however, as any grower knows, each year is different and therefore your pests and means of control will likely vary from what is listed. Mention of a product or vendor does not constitute a guarantee or warranty of the product, nor does it imply recommendation of one product over another. Other products may be suitable depending on soils, weather conditions, farm history, and pest pressures. For the most up-to-date IPM recommendations see the Strawberry IPM Guide at smallfruit.org.</t>
  </si>
  <si>
    <t>Switch 62.5 WG</t>
  </si>
  <si>
    <t>Cabrio EC</t>
  </si>
  <si>
    <t>Spray Captan 5OWG</t>
  </si>
  <si>
    <t>Spray mites, botrytis</t>
  </si>
  <si>
    <t>in the Southeastern United States: Conventional Sustainable Production</t>
  </si>
  <si>
    <t>Spray for pests (x3)</t>
  </si>
  <si>
    <t xml:space="preserve">Key Assumptions </t>
  </si>
  <si>
    <t>Estimated Returns per Acre</t>
  </si>
  <si>
    <t>Estimated Costs of Owning and Operating the Machinery and Equipment</t>
  </si>
  <si>
    <t>Weed beds, remove runners</t>
  </si>
  <si>
    <t>Plastic Layer, Bed Shaper</t>
  </si>
  <si>
    <t>Bed formation</t>
  </si>
  <si>
    <t>Millet</t>
  </si>
  <si>
    <t>Rotovate</t>
  </si>
  <si>
    <t xml:space="preserve">Rotovate </t>
  </si>
  <si>
    <t>Esteem</t>
  </si>
  <si>
    <t>Spray mites, fireats, botrytis</t>
  </si>
  <si>
    <t xml:space="preserve">Spray mites, fireants,  and deer controll </t>
  </si>
  <si>
    <t xml:space="preserve">Spray mites, fireants and deer controll </t>
  </si>
  <si>
    <t>February 2015</t>
  </si>
  <si>
    <t>60 HP-WT &amp; Bed Shaper</t>
  </si>
  <si>
    <t>Mower</t>
  </si>
  <si>
    <t>TOTAL  COSTS</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</si>
</sst>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0.000"/>
    <numFmt numFmtId="167" formatCode="[$$-409]#,##0.00"/>
    <numFmt numFmtId="168" formatCode="[$$-409]#,##0.000"/>
    <numFmt numFmtId="169" formatCode="#,##0.000"/>
    <numFmt numFmtId="170" formatCode="_(&quot;$&quot;* #,##0.000_);_(&quot;$&quot;* \(#,##0.000\);_(&quot;$&quot;* &quot;-&quot;???_);_(@_)"/>
    <numFmt numFmtId="171" formatCode="&quot;$&quot;#,##0.000_);\(&quot;$&quot;#,##0.000\)"/>
    <numFmt numFmtId="172" formatCode="&quot;$&quot;#,##0.000;[Red]&quot;$&quot;#,##0.000"/>
    <numFmt numFmtId="173" formatCode="#,##0.000;[Red]#,##0.000"/>
    <numFmt numFmtId="174" formatCode="&quot;$&quot;#,##0.00;[Red]&quot;$&quot;#,##0.00"/>
    <numFmt numFmtId="175" formatCode="&quot;Yes&quot;;&quot;Yes&quot;;&quot;No&quot;"/>
    <numFmt numFmtId="176" formatCode="&quot;True&quot;;&quot;True&quot;;&quot;False&quot;"/>
    <numFmt numFmtId="177" formatCode="&quot;On&quot;;&quot;On&quot;;&quot;Off&quot;"/>
    <numFmt numFmtId="178" formatCode="[$€-2]\ #,##0.00_);[Red]\([$€-2]\ #,##0.00\)"/>
    <numFmt numFmtId="179" formatCode="&quot;$&quot;#,##0.000_);[Red]\(&quot;$&quot;#,##0.000\)"/>
    <numFmt numFmtId="180" formatCode="&quot;$&quot;#,##0"/>
    <numFmt numFmtId="181" formatCode="_(* #,##0_);_(* \(#,##0\);_(* &quot;-&quot;??_);_(@_)"/>
    <numFmt numFmtId="182" formatCode="#,##0;[Red]#,##0"/>
    <numFmt numFmtId="183" formatCode="_(* #,##0.000_);_(* \(#,##0.000\);_(* &quot;-&quot;???_);_(@_)"/>
    <numFmt numFmtId="184" formatCode="_(* #,##0.00000_);_(* \(#,##0.00000\);_(* &quot;-&quot;?????_);_(@_)"/>
    <numFmt numFmtId="185" formatCode="0.0000"/>
    <numFmt numFmtId="186" formatCode="&quot;$&quot;#,##0.0000"/>
    <numFmt numFmtId="187" formatCode="[$-409]h:mm:ss\ AM/PM"/>
    <numFmt numFmtId="188" formatCode="0.0"/>
    <numFmt numFmtId="189" formatCode="_(* #,##0.0_);_(* \(#,##0.0\);_(* &quot;-&quot;?_);_(@_)"/>
    <numFmt numFmtId="190" formatCode="&quot;$&quot;#,##0.0000_);[Red]\(&quot;$&quot;#,##0.0000\)"/>
    <numFmt numFmtId="191" formatCode="0.0%"/>
    <numFmt numFmtId="192" formatCode="#,##0.0"/>
    <numFmt numFmtId="193" formatCode="&quot;$&quot;#,##0.000000"/>
    <numFmt numFmtId="194" formatCode="&quot;$&quot;#,##0.00000"/>
    <numFmt numFmtId="195" formatCode="#,##0.0000"/>
    <numFmt numFmtId="196" formatCode="#,##0.000_);\(#,##0.000\)"/>
    <numFmt numFmtId="197" formatCode="&quot;$&quot;#,##0.000000000"/>
    <numFmt numFmtId="198" formatCode="#,##0.000_);[Red]\(#,##0.000\)"/>
    <numFmt numFmtId="199" formatCode="0.000%"/>
    <numFmt numFmtId="200" formatCode="&quot;$&quot;#,##0.0000000"/>
    <numFmt numFmtId="201" formatCode="&quot;$&quot;#,##0.00000000"/>
    <numFmt numFmtId="202" formatCode="#,##0.0000_);[Red]\(#,##0.0000\)"/>
    <numFmt numFmtId="203" formatCode="&quot;$&quot;#,##0.0"/>
    <numFmt numFmtId="204" formatCode="[$-409]dddd\,\ mmmm\ dd\,\ yyyy"/>
    <numFmt numFmtId="205" formatCode="[$-409]d\-mmm\-yy;@"/>
    <numFmt numFmtId="206" formatCode="[$-409]d\-mmm\-yyyy;@"/>
    <numFmt numFmtId="207" formatCode="[$-409]mmmm\-yy;@"/>
    <numFmt numFmtId="208" formatCode="[$-409]mmm\-yy;@"/>
    <numFmt numFmtId="209" formatCode="&quot;$&quot;#,##0.0_);[Red]\(&quot;$&quot;#,##0.0\)"/>
    <numFmt numFmtId="210" formatCode="_(* #,##0.0_);_(* \(#,##0.0\);_(* &quot;-&quot;??_);_(@_)"/>
    <numFmt numFmtId="211" formatCode="#,##0.00;[Red]#,##0.00"/>
    <numFmt numFmtId="212" formatCode="#,##0.0;[Red]#,##0.0"/>
    <numFmt numFmtId="213" formatCode="_(* #,##0.000_);_(* \(#,##0.000\);_(* &quot;-&quot;??_);_(@_)"/>
    <numFmt numFmtId="214" formatCode="_(* #,##0.0000_);_(* \(#,##0.0000\);_(* &quot;-&quot;??_);_(@_)"/>
  </numFmts>
  <fonts count="71">
    <font>
      <sz val="10"/>
      <name val="Arial"/>
      <family val="0"/>
    </font>
    <font>
      <b/>
      <sz val="6"/>
      <name val="Arial"/>
      <family val="2"/>
    </font>
    <font>
      <sz val="6"/>
      <name val="Arial"/>
      <family val="2"/>
    </font>
    <font>
      <u val="single"/>
      <sz val="10"/>
      <color indexed="30"/>
      <name val="Arial"/>
      <family val="2"/>
    </font>
    <font>
      <u val="single"/>
      <sz val="10"/>
      <color indexed="20"/>
      <name val="Arial"/>
      <family val="2"/>
    </font>
    <font>
      <b/>
      <sz val="8"/>
      <name val="Arial"/>
      <family val="2"/>
    </font>
    <font>
      <b/>
      <sz val="10"/>
      <name val="Arial"/>
      <family val="0"/>
    </font>
    <font>
      <sz val="8"/>
      <name val="Arial"/>
      <family val="0"/>
    </font>
    <font>
      <b/>
      <i/>
      <sz val="8"/>
      <name val="Arial"/>
      <family val="2"/>
    </font>
    <font>
      <sz val="9"/>
      <name val="Arial"/>
      <family val="2"/>
    </font>
    <font>
      <sz val="10"/>
      <color indexed="12"/>
      <name val="Arial"/>
      <family val="2"/>
    </font>
    <font>
      <sz val="10"/>
      <name val="Times New Roman"/>
      <family val="1"/>
    </font>
    <font>
      <sz val="8"/>
      <color indexed="12"/>
      <name val="Arial"/>
      <family val="2"/>
    </font>
    <font>
      <b/>
      <sz val="12"/>
      <name val="Arial"/>
      <family val="2"/>
    </font>
    <font>
      <sz val="12"/>
      <name val="Arial"/>
      <family val="2"/>
    </font>
    <font>
      <b/>
      <sz val="9"/>
      <name val="Arial"/>
      <family val="2"/>
    </font>
    <font>
      <sz val="9"/>
      <color indexed="8"/>
      <name val="Arial"/>
      <family val="2"/>
    </font>
    <font>
      <b/>
      <sz val="11"/>
      <name val="Arial"/>
      <family val="2"/>
    </font>
    <font>
      <sz val="11"/>
      <name val="Arial"/>
      <family val="2"/>
    </font>
    <font>
      <sz val="12"/>
      <name val="Times New Roman"/>
      <family val="1"/>
    </font>
    <font>
      <i/>
      <sz val="10"/>
      <name val="Arial"/>
      <family val="2"/>
    </font>
    <font>
      <b/>
      <i/>
      <sz val="8"/>
      <color indexed="62"/>
      <name val="Arial"/>
      <family val="2"/>
    </font>
    <font>
      <sz val="8"/>
      <color indexed="13"/>
      <name val="Arial"/>
      <family val="2"/>
    </font>
    <font>
      <i/>
      <sz val="8"/>
      <name val="Arial"/>
      <family val="2"/>
    </font>
    <font>
      <sz val="5"/>
      <name val="Arial"/>
      <family val="2"/>
    </font>
    <font>
      <b/>
      <sz val="7"/>
      <color indexed="61"/>
      <name val="Arial"/>
      <family val="2"/>
    </font>
    <font>
      <b/>
      <sz val="8"/>
      <color indexed="10"/>
      <name val="Arial"/>
      <family val="2"/>
    </font>
    <font>
      <b/>
      <sz val="8"/>
      <color indexed="57"/>
      <name val="Arial"/>
      <family val="2"/>
    </font>
    <font>
      <b/>
      <sz val="8"/>
      <color indexed="12"/>
      <name val="Arial"/>
      <family val="2"/>
    </font>
    <font>
      <b/>
      <sz val="8"/>
      <color indexed="61"/>
      <name val="Arial"/>
      <family val="2"/>
    </font>
    <font>
      <b/>
      <i/>
      <sz val="8"/>
      <color indexed="10"/>
      <name val="Arial"/>
      <family val="2"/>
    </font>
    <font>
      <b/>
      <i/>
      <sz val="8"/>
      <color indexed="57"/>
      <name val="Arial"/>
      <family val="2"/>
    </font>
    <font>
      <b/>
      <i/>
      <sz val="8"/>
      <color indexed="12"/>
      <name val="Arial"/>
      <family val="2"/>
    </font>
    <font>
      <b/>
      <i/>
      <sz val="8"/>
      <color indexed="20"/>
      <name val="Arial"/>
      <family val="2"/>
    </font>
    <font>
      <sz val="5"/>
      <color indexed="20"/>
      <name val="Arial"/>
      <family val="2"/>
    </font>
    <font>
      <b/>
      <i/>
      <sz val="10"/>
      <color indexed="20"/>
      <name val="Arial"/>
      <family val="2"/>
    </font>
    <font>
      <b/>
      <i/>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indexed="13"/>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2"/>
        <bgColor indexed="64"/>
      </patternFill>
    </fill>
    <fill>
      <patternFill patternType="solid">
        <fgColor rgb="FFFFFF00"/>
        <bgColor indexed="64"/>
      </patternFill>
    </fill>
    <fill>
      <patternFill patternType="solid">
        <fgColor theme="3" tint="0.799979984760284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ck"/>
      <right style="thin"/>
      <top>
        <color indexed="63"/>
      </top>
      <bottom>
        <color indexed="63"/>
      </bottom>
    </border>
    <border>
      <left style="thin"/>
      <right style="thin"/>
      <top>
        <color indexed="63"/>
      </top>
      <bottom>
        <color indexed="63"/>
      </bottom>
    </border>
    <border>
      <left style="thick"/>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double"/>
      <bottom>
        <color indexed="63"/>
      </bottom>
    </border>
    <border>
      <left style="thin"/>
      <right style="thick"/>
      <top style="double"/>
      <bottom>
        <color indexed="63"/>
      </bottom>
    </border>
    <border>
      <left style="thick"/>
      <right style="thin"/>
      <top style="double"/>
      <bottom style="thin"/>
    </border>
    <border>
      <left style="thick"/>
      <right style="thin"/>
      <top style="thin"/>
      <bottom style="thin"/>
    </border>
    <border>
      <left style="medium"/>
      <right style="medium"/>
      <top>
        <color indexed="63"/>
      </top>
      <bottom style="thin"/>
    </border>
    <border>
      <left style="medium"/>
      <right style="medium"/>
      <top style="thin"/>
      <bottom style="thin"/>
    </border>
    <border>
      <left style="thick"/>
      <right>
        <color indexed="63"/>
      </right>
      <top style="thick"/>
      <bottom>
        <color indexed="63"/>
      </bottom>
    </border>
    <border>
      <left>
        <color indexed="63"/>
      </left>
      <right>
        <color indexed="63"/>
      </right>
      <top style="thick"/>
      <bottom>
        <color indexed="63"/>
      </bottom>
    </border>
    <border>
      <left style="medium"/>
      <right style="medium"/>
      <top style="thick"/>
      <bottom>
        <color indexed="63"/>
      </bottom>
    </border>
    <border>
      <left style="thin"/>
      <right style="thick"/>
      <top style="thin"/>
      <bottom style="thin"/>
    </border>
    <border>
      <left style="thin"/>
      <right style="thin"/>
      <top style="double"/>
      <bottom style="thin"/>
    </border>
    <border>
      <left style="thin"/>
      <right style="thin"/>
      <top style="thin"/>
      <bottom style="thin"/>
    </border>
    <border>
      <left style="medium"/>
      <right>
        <color indexed="63"/>
      </right>
      <top style="thin"/>
      <bottom style="thin"/>
    </border>
    <border>
      <left style="medium"/>
      <right>
        <color indexed="63"/>
      </right>
      <top>
        <color indexed="63"/>
      </top>
      <bottom style="thin"/>
    </border>
    <border>
      <left style="thin"/>
      <right style="thick"/>
      <top style="double"/>
      <bottom style="thin"/>
    </border>
    <border>
      <left style="medium"/>
      <right style="medium"/>
      <top style="medium"/>
      <bottom style="double"/>
    </border>
    <border>
      <left style="medium"/>
      <right style="medium"/>
      <top style="thick"/>
      <bottom style="double"/>
    </border>
    <border>
      <left style="medium"/>
      <right style="thick"/>
      <top style="thick"/>
      <bottom style="double"/>
    </border>
    <border>
      <left style="medium"/>
      <right style="medium"/>
      <top>
        <color indexed="63"/>
      </top>
      <bottom>
        <color indexed="63"/>
      </bottom>
    </border>
    <border>
      <left style="medium"/>
      <right>
        <color indexed="63"/>
      </right>
      <top>
        <color indexed="63"/>
      </top>
      <bottom>
        <color indexed="63"/>
      </bottom>
    </border>
    <border>
      <left style="thin"/>
      <right style="thin"/>
      <top style="thin"/>
      <bottom style="double"/>
    </border>
    <border>
      <left style="thin"/>
      <right style="thin"/>
      <top>
        <color indexed="63"/>
      </top>
      <bottom style="thin"/>
    </border>
    <border>
      <left>
        <color indexed="63"/>
      </left>
      <right>
        <color indexed="63"/>
      </right>
      <top style="thin"/>
      <bottom>
        <color indexed="63"/>
      </bottom>
    </border>
    <border>
      <left style="thin"/>
      <right>
        <color indexed="63"/>
      </right>
      <top style="double"/>
      <bottom style="thin"/>
    </border>
    <border>
      <left style="thin"/>
      <right>
        <color indexed="63"/>
      </right>
      <top style="thin"/>
      <bottom style="thin"/>
    </border>
  </borders>
  <cellStyleXfs count="6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0" applyNumberFormat="0" applyBorder="0" applyAlignment="0" applyProtection="0"/>
    <xf numFmtId="0" fontId="57" fillId="28" borderId="1" applyNumberFormat="0" applyAlignment="0" applyProtection="0"/>
    <xf numFmtId="0" fontId="5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1" borderId="1" applyNumberFormat="0" applyAlignment="0" applyProtection="0"/>
    <xf numFmtId="0" fontId="65" fillId="0" borderId="6" applyNumberFormat="0" applyFill="0" applyAlignment="0" applyProtection="0"/>
    <xf numFmtId="0" fontId="66" fillId="32" borderId="0" applyNumberFormat="0" applyBorder="0" applyAlignment="0" applyProtection="0"/>
    <xf numFmtId="0" fontId="0" fillId="33" borderId="7" applyNumberFormat="0" applyFont="0" applyAlignment="0" applyProtection="0"/>
    <xf numFmtId="0" fontId="67" fillId="28"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84">
    <xf numFmtId="0" fontId="0" fillId="2" borderId="0" xfId="0" applyAlignment="1">
      <alignment/>
    </xf>
    <xf numFmtId="0" fontId="2" fillId="0" borderId="0" xfId="0" applyFont="1" applyFill="1" applyBorder="1" applyAlignment="1">
      <alignment/>
    </xf>
    <xf numFmtId="0" fontId="2" fillId="0" borderId="0" xfId="0" applyFont="1" applyFill="1" applyAlignment="1">
      <alignment/>
    </xf>
    <xf numFmtId="0" fontId="6" fillId="2" borderId="0" xfId="0" applyFont="1" applyAlignment="1">
      <alignment/>
    </xf>
    <xf numFmtId="0" fontId="0" fillId="2" borderId="0" xfId="0" applyAlignment="1">
      <alignment horizontal="left"/>
    </xf>
    <xf numFmtId="2" fontId="0" fillId="2" borderId="0" xfId="0" applyNumberFormat="1" applyAlignment="1">
      <alignment/>
    </xf>
    <xf numFmtId="2" fontId="7" fillId="0" borderId="0" xfId="0" applyNumberFormat="1" applyFont="1" applyFill="1" applyBorder="1" applyAlignment="1">
      <alignment/>
    </xf>
    <xf numFmtId="0" fontId="7" fillId="2" borderId="0" xfId="0" applyFont="1" applyBorder="1" applyAlignment="1">
      <alignment/>
    </xf>
    <xf numFmtId="181" fontId="7" fillId="0" borderId="0" xfId="42" applyNumberFormat="1" applyFont="1" applyBorder="1" applyAlignment="1">
      <alignment horizontal="left"/>
    </xf>
    <xf numFmtId="43" fontId="7" fillId="0" borderId="0" xfId="42" applyNumberFormat="1" applyFont="1" applyBorder="1" applyAlignment="1">
      <alignment horizontal="left"/>
    </xf>
    <xf numFmtId="43" fontId="7" fillId="0" borderId="0" xfId="42" applyNumberFormat="1" applyFont="1" applyBorder="1" applyAlignment="1">
      <alignment/>
    </xf>
    <xf numFmtId="0" fontId="0" fillId="2" borderId="0" xfId="0" applyAlignment="1">
      <alignment horizontal="center"/>
    </xf>
    <xf numFmtId="0" fontId="0" fillId="2" borderId="0" xfId="0" applyFont="1" applyAlignment="1">
      <alignment/>
    </xf>
    <xf numFmtId="0" fontId="7" fillId="2" borderId="0" xfId="0" applyFont="1" applyAlignment="1">
      <alignment/>
    </xf>
    <xf numFmtId="0" fontId="6" fillId="2" borderId="0" xfId="0" applyFont="1" applyBorder="1" applyAlignment="1">
      <alignment/>
    </xf>
    <xf numFmtId="181" fontId="0" fillId="0" borderId="0" xfId="42" applyNumberFormat="1" applyFont="1" applyBorder="1" applyAlignment="1">
      <alignment horizontal="left"/>
    </xf>
    <xf numFmtId="0" fontId="7" fillId="2" borderId="10" xfId="0" applyFont="1" applyBorder="1" applyAlignment="1">
      <alignment/>
    </xf>
    <xf numFmtId="181" fontId="7" fillId="0" borderId="10" xfId="42" applyNumberFormat="1" applyFont="1" applyBorder="1" applyAlignment="1">
      <alignment horizontal="left"/>
    </xf>
    <xf numFmtId="43" fontId="7" fillId="0" borderId="10" xfId="42" applyNumberFormat="1" applyFont="1" applyBorder="1" applyAlignment="1">
      <alignment horizontal="left"/>
    </xf>
    <xf numFmtId="43" fontId="7" fillId="0" borderId="10" xfId="42" applyNumberFormat="1" applyFont="1" applyBorder="1" applyAlignment="1">
      <alignment/>
    </xf>
    <xf numFmtId="0" fontId="12" fillId="34" borderId="11" xfId="0" applyFont="1" applyFill="1" applyBorder="1" applyAlignment="1">
      <alignment/>
    </xf>
    <xf numFmtId="181" fontId="12" fillId="0" borderId="12" xfId="42" applyNumberFormat="1" applyFont="1" applyBorder="1" applyAlignment="1">
      <alignment horizontal="left"/>
    </xf>
    <xf numFmtId="43" fontId="12" fillId="0" borderId="12" xfId="42" applyNumberFormat="1" applyFont="1" applyBorder="1" applyAlignment="1">
      <alignment horizontal="left"/>
    </xf>
    <xf numFmtId="183" fontId="12" fillId="0" borderId="12" xfId="42" applyNumberFormat="1" applyFont="1" applyBorder="1" applyAlignment="1">
      <alignment/>
    </xf>
    <xf numFmtId="183" fontId="12" fillId="0" borderId="12" xfId="42" applyNumberFormat="1" applyFont="1" applyBorder="1" applyAlignment="1">
      <alignment horizontal="left"/>
    </xf>
    <xf numFmtId="0" fontId="12" fillId="2" borderId="12" xfId="0" applyFont="1" applyBorder="1" applyAlignment="1" quotePrefix="1">
      <alignment horizontal="center"/>
    </xf>
    <xf numFmtId="0" fontId="13" fillId="0" borderId="0" xfId="0" applyFont="1" applyFill="1" applyAlignment="1">
      <alignment/>
    </xf>
    <xf numFmtId="4" fontId="14" fillId="0" borderId="0" xfId="0" applyNumberFormat="1" applyFont="1" applyFill="1" applyBorder="1" applyAlignment="1">
      <alignment horizontal="right"/>
    </xf>
    <xf numFmtId="0" fontId="9" fillId="0" borderId="0" xfId="0" applyFont="1" applyFill="1" applyBorder="1" applyAlignment="1">
      <alignment/>
    </xf>
    <xf numFmtId="0" fontId="9" fillId="2" borderId="0" xfId="0" applyFont="1" applyBorder="1" applyAlignment="1">
      <alignment/>
    </xf>
    <xf numFmtId="0" fontId="7" fillId="0" borderId="0" xfId="0" applyFont="1" applyFill="1" applyBorder="1" applyAlignment="1">
      <alignment/>
    </xf>
    <xf numFmtId="0" fontId="9" fillId="2" borderId="0" xfId="0" applyFont="1" applyBorder="1" applyAlignment="1">
      <alignment horizontal="right"/>
    </xf>
    <xf numFmtId="0" fontId="9" fillId="2" borderId="0" xfId="0" applyFont="1" applyBorder="1" applyAlignment="1">
      <alignment horizontal="left"/>
    </xf>
    <xf numFmtId="164" fontId="0" fillId="2" borderId="0" xfId="0" applyNumberFormat="1" applyAlignment="1">
      <alignment/>
    </xf>
    <xf numFmtId="0" fontId="14" fillId="2" borderId="0" xfId="0" applyFont="1" applyAlignment="1">
      <alignment/>
    </xf>
    <xf numFmtId="164" fontId="14" fillId="2" borderId="0" xfId="0" applyNumberFormat="1" applyFont="1" applyAlignment="1">
      <alignment/>
    </xf>
    <xf numFmtId="164" fontId="14" fillId="0" borderId="0" xfId="0" applyNumberFormat="1" applyFont="1" applyFill="1" applyBorder="1" applyAlignment="1">
      <alignment/>
    </xf>
    <xf numFmtId="181" fontId="12" fillId="0" borderId="0" xfId="42" applyNumberFormat="1" applyFont="1" applyBorder="1" applyAlignment="1">
      <alignment horizontal="left"/>
    </xf>
    <xf numFmtId="43" fontId="12" fillId="0" borderId="0" xfId="42" applyNumberFormat="1" applyFont="1" applyBorder="1" applyAlignment="1">
      <alignment horizontal="left"/>
    </xf>
    <xf numFmtId="183" fontId="12" fillId="0" borderId="0" xfId="42" applyNumberFormat="1" applyFont="1" applyBorder="1" applyAlignment="1">
      <alignment/>
    </xf>
    <xf numFmtId="0" fontId="12" fillId="34" borderId="13" xfId="0" applyFont="1" applyFill="1" applyBorder="1" applyAlignment="1">
      <alignment/>
    </xf>
    <xf numFmtId="0" fontId="12" fillId="2" borderId="0" xfId="0" applyFont="1" applyBorder="1" applyAlignment="1" quotePrefix="1">
      <alignment horizontal="center"/>
    </xf>
    <xf numFmtId="183" fontId="12" fillId="0" borderId="0" xfId="42" applyNumberFormat="1" applyFont="1" applyBorder="1" applyAlignment="1">
      <alignment horizontal="left"/>
    </xf>
    <xf numFmtId="0" fontId="6" fillId="2" borderId="0" xfId="0" applyFont="1" applyAlignment="1">
      <alignment horizontal="center"/>
    </xf>
    <xf numFmtId="0" fontId="6" fillId="2" borderId="0" xfId="0" applyFont="1" applyAlignment="1">
      <alignment/>
    </xf>
    <xf numFmtId="0" fontId="0" fillId="2" borderId="0" xfId="0" applyAlignment="1">
      <alignment/>
    </xf>
    <xf numFmtId="0" fontId="15" fillId="2" borderId="14" xfId="0" applyFont="1" applyBorder="1" applyAlignment="1">
      <alignment/>
    </xf>
    <xf numFmtId="0" fontId="0" fillId="2" borderId="15" xfId="0" applyBorder="1" applyAlignment="1">
      <alignment/>
    </xf>
    <xf numFmtId="0" fontId="0" fillId="2" borderId="0" xfId="0" applyFont="1" applyBorder="1" applyAlignment="1">
      <alignment/>
    </xf>
    <xf numFmtId="0" fontId="15" fillId="2" borderId="0" xfId="0" applyFont="1" applyAlignment="1">
      <alignment horizontal="center"/>
    </xf>
    <xf numFmtId="0" fontId="15" fillId="2" borderId="14" xfId="0" applyFont="1" applyBorder="1" applyAlignment="1">
      <alignment horizontal="center"/>
    </xf>
    <xf numFmtId="0" fontId="9" fillId="2" borderId="0" xfId="0" applyFont="1" applyAlignment="1">
      <alignment/>
    </xf>
    <xf numFmtId="4" fontId="9" fillId="2" borderId="0" xfId="0" applyNumberFormat="1" applyFont="1" applyAlignment="1">
      <alignment/>
    </xf>
    <xf numFmtId="0" fontId="9" fillId="2" borderId="16" xfId="0" applyFont="1" applyBorder="1" applyAlignment="1">
      <alignment/>
    </xf>
    <xf numFmtId="0" fontId="9" fillId="2" borderId="15" xfId="0" applyFont="1" applyBorder="1" applyAlignment="1">
      <alignment/>
    </xf>
    <xf numFmtId="0" fontId="0" fillId="2" borderId="17" xfId="0" applyBorder="1" applyAlignment="1">
      <alignment/>
    </xf>
    <xf numFmtId="166" fontId="0" fillId="2" borderId="0" xfId="0" applyNumberFormat="1" applyAlignment="1">
      <alignment/>
    </xf>
    <xf numFmtId="0" fontId="0" fillId="2" borderId="0" xfId="0" applyBorder="1" applyAlignment="1">
      <alignment/>
    </xf>
    <xf numFmtId="0" fontId="9" fillId="2" borderId="17" xfId="0" applyFont="1" applyBorder="1" applyAlignment="1">
      <alignment/>
    </xf>
    <xf numFmtId="0" fontId="0" fillId="35" borderId="0" xfId="0" applyFont="1" applyFill="1" applyAlignment="1">
      <alignment/>
    </xf>
    <xf numFmtId="0" fontId="0" fillId="36" borderId="0" xfId="0" applyFill="1" applyAlignment="1">
      <alignment/>
    </xf>
    <xf numFmtId="2" fontId="0" fillId="36" borderId="0" xfId="0" applyNumberFormat="1" applyFill="1" applyAlignment="1">
      <alignment/>
    </xf>
    <xf numFmtId="164" fontId="0" fillId="2" borderId="0" xfId="0" applyNumberFormat="1" applyFont="1" applyAlignment="1">
      <alignment/>
    </xf>
    <xf numFmtId="0" fontId="13" fillId="35" borderId="0" xfId="0" applyFont="1" applyFill="1" applyAlignment="1">
      <alignment/>
    </xf>
    <xf numFmtId="0" fontId="15" fillId="2" borderId="14" xfId="0" applyFont="1" applyBorder="1" applyAlignment="1">
      <alignment/>
    </xf>
    <xf numFmtId="3" fontId="15" fillId="2" borderId="14" xfId="0" applyNumberFormat="1" applyFont="1" applyBorder="1" applyAlignment="1">
      <alignment horizontal="center"/>
    </xf>
    <xf numFmtId="2" fontId="0" fillId="36" borderId="0" xfId="0" applyNumberFormat="1" applyFill="1" applyBorder="1" applyAlignment="1">
      <alignment/>
    </xf>
    <xf numFmtId="43" fontId="9" fillId="0" borderId="18" xfId="42" applyNumberFormat="1" applyFont="1" applyBorder="1" applyAlignment="1">
      <alignment horizontal="left"/>
    </xf>
    <xf numFmtId="183" fontId="15" fillId="37" borderId="19" xfId="42" applyNumberFormat="1" applyFont="1" applyFill="1" applyBorder="1" applyAlignment="1">
      <alignment/>
    </xf>
    <xf numFmtId="0" fontId="16" fillId="34" borderId="20" xfId="0" applyFont="1" applyFill="1" applyBorder="1" applyAlignment="1">
      <alignment/>
    </xf>
    <xf numFmtId="43" fontId="9" fillId="0" borderId="12" xfId="42" applyNumberFormat="1" applyFont="1" applyBorder="1" applyAlignment="1">
      <alignment horizontal="left"/>
    </xf>
    <xf numFmtId="0" fontId="16" fillId="34" borderId="21" xfId="0" applyFont="1" applyFill="1" applyBorder="1" applyAlignment="1">
      <alignment/>
    </xf>
    <xf numFmtId="0" fontId="9" fillId="34" borderId="21" xfId="0" applyFont="1" applyFill="1" applyBorder="1" applyAlignment="1">
      <alignment/>
    </xf>
    <xf numFmtId="196" fontId="9" fillId="2" borderId="16" xfId="0" applyNumberFormat="1" applyFont="1" applyBorder="1" applyAlignment="1">
      <alignment/>
    </xf>
    <xf numFmtId="43" fontId="9" fillId="0" borderId="22" xfId="42" applyNumberFormat="1" applyFont="1" applyBorder="1" applyAlignment="1">
      <alignment horizontal="left"/>
    </xf>
    <xf numFmtId="43" fontId="9" fillId="0" borderId="23" xfId="42" applyNumberFormat="1" applyFont="1" applyBorder="1" applyAlignment="1">
      <alignment horizontal="left"/>
    </xf>
    <xf numFmtId="0" fontId="6" fillId="38" borderId="24" xfId="0" applyNumberFormat="1" applyFont="1" applyFill="1" applyBorder="1" applyAlignment="1">
      <alignment horizontal="center" vertical="center" wrapText="1"/>
    </xf>
    <xf numFmtId="0" fontId="15" fillId="38" borderId="25" xfId="42" applyNumberFormat="1" applyFont="1" applyFill="1" applyBorder="1" applyAlignment="1">
      <alignment horizontal="center" vertical="center" wrapText="1"/>
    </xf>
    <xf numFmtId="0" fontId="5" fillId="38" borderId="26" xfId="42" applyNumberFormat="1" applyFont="1" applyFill="1" applyBorder="1" applyAlignment="1">
      <alignment horizontal="center" vertical="center" wrapText="1"/>
    </xf>
    <xf numFmtId="0" fontId="15" fillId="38" borderId="26" xfId="42" applyNumberFormat="1" applyFont="1" applyFill="1" applyBorder="1" applyAlignment="1">
      <alignment horizontal="center" vertical="center" wrapText="1"/>
    </xf>
    <xf numFmtId="0" fontId="15" fillId="38" borderId="24" xfId="0" applyNumberFormat="1" applyFont="1" applyFill="1" applyBorder="1" applyAlignment="1">
      <alignment horizontal="center" vertical="center" wrapText="1"/>
    </xf>
    <xf numFmtId="183" fontId="15" fillId="37" borderId="27" xfId="42" applyNumberFormat="1" applyFont="1" applyFill="1" applyBorder="1" applyAlignment="1">
      <alignment/>
    </xf>
    <xf numFmtId="0" fontId="16" fillId="2" borderId="28" xfId="0" applyFont="1" applyBorder="1" applyAlignment="1">
      <alignment horizontal="center"/>
    </xf>
    <xf numFmtId="43" fontId="9" fillId="0" borderId="28" xfId="42" applyNumberFormat="1" applyFont="1" applyBorder="1" applyAlignment="1">
      <alignment horizontal="left"/>
    </xf>
    <xf numFmtId="181" fontId="9" fillId="0" borderId="28" xfId="42" applyNumberFormat="1" applyFont="1" applyBorder="1" applyAlignment="1">
      <alignment horizontal="left"/>
    </xf>
    <xf numFmtId="0" fontId="16" fillId="2" borderId="29" xfId="0" applyFont="1" applyBorder="1" applyAlignment="1">
      <alignment horizontal="center"/>
    </xf>
    <xf numFmtId="43" fontId="9" fillId="0" borderId="29" xfId="42" applyNumberFormat="1" applyFont="1" applyBorder="1" applyAlignment="1">
      <alignment horizontal="left"/>
    </xf>
    <xf numFmtId="0" fontId="9" fillId="2" borderId="29" xfId="0" applyFont="1" applyBorder="1" applyAlignment="1">
      <alignment horizontal="center"/>
    </xf>
    <xf numFmtId="43" fontId="9" fillId="0" borderId="30" xfId="42" applyNumberFormat="1" applyFont="1" applyBorder="1" applyAlignment="1">
      <alignment horizontal="left"/>
    </xf>
    <xf numFmtId="43" fontId="9" fillId="0" borderId="31" xfId="42" applyNumberFormat="1" applyFont="1" applyBorder="1" applyAlignment="1">
      <alignment horizontal="left"/>
    </xf>
    <xf numFmtId="43" fontId="9" fillId="0" borderId="28" xfId="42" applyNumberFormat="1" applyFont="1" applyBorder="1" applyAlignment="1">
      <alignment/>
    </xf>
    <xf numFmtId="183" fontId="9" fillId="0" borderId="28" xfId="42" applyNumberFormat="1" applyFont="1" applyBorder="1" applyAlignment="1">
      <alignment/>
    </xf>
    <xf numFmtId="43" fontId="9" fillId="0" borderId="29" xfId="42" applyNumberFormat="1" applyFont="1" applyBorder="1" applyAlignment="1">
      <alignment/>
    </xf>
    <xf numFmtId="183" fontId="9" fillId="0" borderId="29" xfId="42" applyNumberFormat="1" applyFont="1" applyBorder="1" applyAlignment="1">
      <alignment/>
    </xf>
    <xf numFmtId="0" fontId="9" fillId="34" borderId="20" xfId="0" applyFont="1" applyFill="1" applyBorder="1" applyAlignment="1">
      <alignment/>
    </xf>
    <xf numFmtId="0" fontId="9" fillId="2" borderId="28" xfId="0" applyFont="1" applyBorder="1" applyAlignment="1">
      <alignment horizontal="center"/>
    </xf>
    <xf numFmtId="183" fontId="9" fillId="0" borderId="28" xfId="42" applyNumberFormat="1" applyFont="1" applyBorder="1" applyAlignment="1">
      <alignment horizontal="left"/>
    </xf>
    <xf numFmtId="0" fontId="9" fillId="34" borderId="28" xfId="0" applyFont="1" applyFill="1" applyBorder="1" applyAlignment="1">
      <alignment/>
    </xf>
    <xf numFmtId="196" fontId="9" fillId="2" borderId="28" xfId="0" applyNumberFormat="1" applyFont="1" applyBorder="1" applyAlignment="1">
      <alignment/>
    </xf>
    <xf numFmtId="183" fontId="9" fillId="0" borderId="32" xfId="42" applyNumberFormat="1" applyFont="1" applyBorder="1" applyAlignment="1">
      <alignment/>
    </xf>
    <xf numFmtId="183" fontId="9" fillId="0" borderId="29" xfId="42" applyNumberFormat="1" applyFont="1" applyBorder="1" applyAlignment="1">
      <alignment horizontal="left"/>
    </xf>
    <xf numFmtId="183" fontId="9" fillId="0" borderId="27" xfId="42" applyNumberFormat="1" applyFont="1" applyBorder="1" applyAlignment="1">
      <alignment/>
    </xf>
    <xf numFmtId="196" fontId="9" fillId="2" borderId="29" xfId="0" applyNumberFormat="1" applyFont="1" applyBorder="1" applyAlignment="1">
      <alignment/>
    </xf>
    <xf numFmtId="0" fontId="15" fillId="34" borderId="33" xfId="42" applyNumberFormat="1" applyFont="1" applyFill="1" applyBorder="1" applyAlignment="1">
      <alignment horizontal="center" vertical="center" wrapText="1"/>
    </xf>
    <xf numFmtId="0" fontId="15" fillId="34" borderId="33" xfId="0" applyFont="1" applyFill="1" applyBorder="1" applyAlignment="1">
      <alignment horizontal="center" vertical="center" wrapText="1"/>
    </xf>
    <xf numFmtId="0" fontId="15" fillId="38" borderId="34" xfId="42" applyNumberFormat="1" applyFont="1" applyFill="1" applyBorder="1" applyAlignment="1">
      <alignment horizontal="center" vertical="center" wrapText="1"/>
    </xf>
    <xf numFmtId="0" fontId="15" fillId="38" borderId="35" xfId="42" applyNumberFormat="1" applyFont="1" applyFill="1" applyBorder="1" applyAlignment="1">
      <alignment horizontal="center" vertical="center" wrapText="1"/>
    </xf>
    <xf numFmtId="0" fontId="1" fillId="38" borderId="34" xfId="0" applyNumberFormat="1" applyFont="1" applyFill="1" applyBorder="1" applyAlignment="1">
      <alignment vertical="center" wrapText="1"/>
    </xf>
    <xf numFmtId="43" fontId="9" fillId="0" borderId="36" xfId="42" applyNumberFormat="1" applyFont="1" applyBorder="1" applyAlignment="1">
      <alignment horizontal="left"/>
    </xf>
    <xf numFmtId="43" fontId="9" fillId="0" borderId="37" xfId="42" applyNumberFormat="1" applyFont="1" applyBorder="1" applyAlignment="1">
      <alignment horizontal="left"/>
    </xf>
    <xf numFmtId="0" fontId="5" fillId="38" borderId="34" xfId="42" applyNumberFormat="1" applyFont="1" applyFill="1" applyBorder="1" applyAlignment="1">
      <alignment horizontal="center" vertical="center" wrapText="1"/>
    </xf>
    <xf numFmtId="0" fontId="0" fillId="36" borderId="0" xfId="0" applyFill="1" applyAlignment="1">
      <alignment horizontal="center"/>
    </xf>
    <xf numFmtId="0" fontId="10" fillId="36" borderId="0" xfId="0" applyFont="1" applyFill="1" applyAlignment="1">
      <alignment/>
    </xf>
    <xf numFmtId="0" fontId="16" fillId="2" borderId="21" xfId="0" applyFont="1" applyBorder="1" applyAlignment="1">
      <alignment horizontal="left"/>
    </xf>
    <xf numFmtId="172" fontId="7" fillId="36" borderId="0" xfId="0" applyNumberFormat="1" applyFont="1" applyFill="1" applyBorder="1" applyAlignment="1">
      <alignment/>
    </xf>
    <xf numFmtId="0" fontId="7" fillId="36" borderId="0" xfId="0" applyFont="1" applyFill="1" applyBorder="1" applyAlignment="1">
      <alignment horizontal="center"/>
    </xf>
    <xf numFmtId="2" fontId="7" fillId="36" borderId="0" xfId="0" applyNumberFormat="1" applyFont="1" applyFill="1" applyBorder="1" applyAlignment="1">
      <alignment/>
    </xf>
    <xf numFmtId="166" fontId="7" fillId="36" borderId="0" xfId="0" applyNumberFormat="1" applyFont="1" applyFill="1" applyBorder="1" applyAlignment="1">
      <alignment/>
    </xf>
    <xf numFmtId="164" fontId="7" fillId="36" borderId="0" xfId="0" applyNumberFormat="1" applyFont="1" applyFill="1" applyBorder="1" applyAlignment="1">
      <alignment/>
    </xf>
    <xf numFmtId="0" fontId="9" fillId="36" borderId="0" xfId="0" applyFont="1" applyFill="1" applyBorder="1" applyAlignment="1">
      <alignment/>
    </xf>
    <xf numFmtId="0" fontId="0" fillId="36" borderId="0" xfId="0" applyFill="1" applyBorder="1" applyAlignment="1">
      <alignment/>
    </xf>
    <xf numFmtId="0" fontId="5" fillId="2" borderId="10" xfId="0" applyFont="1" applyBorder="1" applyAlignment="1">
      <alignment/>
    </xf>
    <xf numFmtId="164" fontId="0" fillId="36" borderId="0" xfId="0" applyNumberFormat="1" applyFill="1" applyAlignment="1">
      <alignment/>
    </xf>
    <xf numFmtId="0" fontId="13" fillId="39" borderId="0" xfId="0" applyFont="1" applyFill="1" applyAlignment="1">
      <alignment/>
    </xf>
    <xf numFmtId="0" fontId="14" fillId="39" borderId="0" xfId="0" applyFont="1" applyFill="1" applyAlignment="1">
      <alignment/>
    </xf>
    <xf numFmtId="0" fontId="13" fillId="35" borderId="0" xfId="0" applyFont="1" applyFill="1" applyAlignment="1">
      <alignment horizontal="center"/>
    </xf>
    <xf numFmtId="0" fontId="18" fillId="2" borderId="0" xfId="0" applyFont="1" applyAlignment="1">
      <alignment horizontal="center"/>
    </xf>
    <xf numFmtId="0" fontId="0" fillId="2" borderId="0" xfId="0" applyFont="1" applyAlignment="1">
      <alignment horizontal="left"/>
    </xf>
    <xf numFmtId="0" fontId="0" fillId="2" borderId="0" xfId="0" applyFont="1" applyAlignment="1">
      <alignment horizontal="center" vertical="top" wrapText="1"/>
    </xf>
    <xf numFmtId="0" fontId="19" fillId="2" borderId="0" xfId="0" applyFont="1" applyAlignment="1">
      <alignment horizontal="center"/>
    </xf>
    <xf numFmtId="0" fontId="10" fillId="36" borderId="0" xfId="0" applyFont="1" applyFill="1" applyBorder="1" applyAlignment="1">
      <alignment/>
    </xf>
    <xf numFmtId="0" fontId="20" fillId="2" borderId="0" xfId="0" applyFont="1" applyAlignment="1">
      <alignment horizontal="left"/>
    </xf>
    <xf numFmtId="0" fontId="6" fillId="2" borderId="0" xfId="0" applyFont="1" applyAlignment="1">
      <alignment horizontal="left"/>
    </xf>
    <xf numFmtId="10" fontId="0" fillId="36" borderId="0" xfId="0" applyNumberFormat="1" applyFill="1" applyBorder="1" applyAlignment="1">
      <alignment horizontal="center"/>
    </xf>
    <xf numFmtId="0" fontId="11" fillId="36" borderId="38" xfId="0" applyFont="1" applyFill="1" applyBorder="1" applyAlignment="1">
      <alignment horizontal="center" vertical="center" wrapText="1"/>
    </xf>
    <xf numFmtId="0" fontId="11" fillId="2" borderId="38" xfId="0" applyFont="1" applyBorder="1" applyAlignment="1">
      <alignment horizontal="center" vertical="center" wrapText="1"/>
    </xf>
    <xf numFmtId="0" fontId="0" fillId="36" borderId="28" xfId="0" applyFill="1" applyBorder="1" applyAlignment="1">
      <alignment horizontal="left" vertical="center"/>
    </xf>
    <xf numFmtId="0" fontId="0" fillId="40" borderId="18" xfId="0" applyFill="1" applyBorder="1" applyAlignment="1">
      <alignment vertical="center"/>
    </xf>
    <xf numFmtId="164" fontId="0" fillId="2" borderId="39" xfId="0" applyNumberFormat="1" applyFont="1" applyBorder="1" applyAlignment="1">
      <alignment horizontal="center" vertical="center"/>
    </xf>
    <xf numFmtId="164" fontId="0" fillId="2" borderId="39" xfId="0" applyNumberFormat="1" applyBorder="1" applyAlignment="1">
      <alignment horizontal="center" vertical="center"/>
    </xf>
    <xf numFmtId="0" fontId="0" fillId="36" borderId="29" xfId="0" applyFill="1" applyBorder="1" applyAlignment="1">
      <alignment horizontal="left" vertical="center" wrapText="1"/>
    </xf>
    <xf numFmtId="0" fontId="0" fillId="40" borderId="12" xfId="0" applyFill="1" applyBorder="1" applyAlignment="1">
      <alignment vertical="center"/>
    </xf>
    <xf numFmtId="164" fontId="0" fillId="2" borderId="29" xfId="0" applyNumberFormat="1" applyFont="1" applyBorder="1" applyAlignment="1">
      <alignment horizontal="center" vertical="center"/>
    </xf>
    <xf numFmtId="164" fontId="0" fillId="2" borderId="29" xfId="0" applyNumberFormat="1" applyBorder="1" applyAlignment="1">
      <alignment horizontal="center" vertical="center"/>
    </xf>
    <xf numFmtId="0" fontId="10" fillId="40" borderId="12" xfId="0" applyFont="1" applyFill="1" applyBorder="1" applyAlignment="1">
      <alignment vertical="center"/>
    </xf>
    <xf numFmtId="0" fontId="0" fillId="36" borderId="29" xfId="0" applyFont="1" applyFill="1" applyBorder="1" applyAlignment="1">
      <alignment horizontal="left" vertical="center" wrapText="1"/>
    </xf>
    <xf numFmtId="166" fontId="7" fillId="0" borderId="0" xfId="0" applyNumberFormat="1" applyFont="1" applyFill="1" applyBorder="1" applyAlignment="1">
      <alignment/>
    </xf>
    <xf numFmtId="2" fontId="7" fillId="2" borderId="0" xfId="0" applyNumberFormat="1" applyFont="1" applyBorder="1" applyAlignment="1">
      <alignment/>
    </xf>
    <xf numFmtId="166" fontId="7" fillId="2" borderId="0" xfId="0" applyNumberFormat="1" applyFont="1" applyBorder="1" applyAlignment="1">
      <alignment/>
    </xf>
    <xf numFmtId="172" fontId="7" fillId="2" borderId="0" xfId="0" applyNumberFormat="1" applyFont="1" applyBorder="1" applyAlignment="1">
      <alignment/>
    </xf>
    <xf numFmtId="0" fontId="7" fillId="2" borderId="0" xfId="0" applyFont="1" applyBorder="1" applyAlignment="1">
      <alignment horizontal="center"/>
    </xf>
    <xf numFmtId="164" fontId="7" fillId="2" borderId="0" xfId="0" applyNumberFormat="1" applyFont="1" applyBorder="1" applyAlignment="1">
      <alignment/>
    </xf>
    <xf numFmtId="164" fontId="5" fillId="2" borderId="0" xfId="0" applyNumberFormat="1" applyFont="1" applyBorder="1" applyAlignment="1">
      <alignment/>
    </xf>
    <xf numFmtId="0" fontId="5" fillId="2" borderId="0" xfId="0" applyFont="1" applyAlignment="1">
      <alignment/>
    </xf>
    <xf numFmtId="49" fontId="9" fillId="0" borderId="0" xfId="0" applyNumberFormat="1" applyFont="1" applyFill="1" applyBorder="1" applyAlignment="1">
      <alignment/>
    </xf>
    <xf numFmtId="0" fontId="0" fillId="40" borderId="29" xfId="0" applyFill="1" applyBorder="1" applyAlignment="1">
      <alignment vertical="center"/>
    </xf>
    <xf numFmtId="164" fontId="0" fillId="36" borderId="28" xfId="0" applyNumberFormat="1" applyFill="1" applyBorder="1" applyAlignment="1">
      <alignment horizontal="center" vertical="center"/>
    </xf>
    <xf numFmtId="10" fontId="14" fillId="2" borderId="0" xfId="0" applyNumberFormat="1" applyFont="1" applyAlignment="1">
      <alignment/>
    </xf>
    <xf numFmtId="10" fontId="14" fillId="2" borderId="0" xfId="59" applyNumberFormat="1" applyFont="1" applyFill="1" applyAlignment="1">
      <alignment/>
    </xf>
    <xf numFmtId="3" fontId="0" fillId="36" borderId="0" xfId="0" applyNumberFormat="1" applyFill="1" applyAlignment="1">
      <alignment/>
    </xf>
    <xf numFmtId="0" fontId="0" fillId="36" borderId="0" xfId="0" applyFont="1" applyFill="1" applyAlignment="1">
      <alignment/>
    </xf>
    <xf numFmtId="0" fontId="0" fillId="36" borderId="0" xfId="0" applyFont="1" applyFill="1" applyBorder="1" applyAlignment="1">
      <alignment/>
    </xf>
    <xf numFmtId="3" fontId="0" fillId="36" borderId="0" xfId="0" applyNumberFormat="1" applyFill="1" applyBorder="1" applyAlignment="1">
      <alignment/>
    </xf>
    <xf numFmtId="164" fontId="0" fillId="36" borderId="0" xfId="0" applyNumberFormat="1" applyFill="1" applyBorder="1" applyAlignment="1">
      <alignment/>
    </xf>
    <xf numFmtId="164" fontId="0" fillId="36" borderId="0" xfId="0" applyNumberFormat="1" applyFont="1" applyFill="1" applyBorder="1" applyAlignment="1">
      <alignment/>
    </xf>
    <xf numFmtId="164" fontId="7" fillId="36" borderId="0" xfId="0" applyNumberFormat="1" applyFont="1" applyFill="1" applyBorder="1" applyAlignment="1">
      <alignment/>
    </xf>
    <xf numFmtId="0" fontId="13" fillId="36" borderId="0" xfId="0" applyFont="1" applyFill="1" applyAlignment="1">
      <alignment/>
    </xf>
    <xf numFmtId="0" fontId="14" fillId="36" borderId="0" xfId="0" applyFont="1" applyFill="1" applyAlignment="1">
      <alignment/>
    </xf>
    <xf numFmtId="165" fontId="7" fillId="36" borderId="0" xfId="0" applyNumberFormat="1" applyFont="1" applyFill="1" applyBorder="1" applyAlignment="1">
      <alignment/>
    </xf>
    <xf numFmtId="0" fontId="7" fillId="36" borderId="0" xfId="0" applyFont="1" applyFill="1" applyBorder="1" applyAlignment="1">
      <alignment/>
    </xf>
    <xf numFmtId="0" fontId="5" fillId="0" borderId="0" xfId="0" applyFont="1" applyFill="1" applyBorder="1" applyAlignment="1">
      <alignment/>
    </xf>
    <xf numFmtId="0" fontId="21" fillId="2" borderId="0" xfId="0" applyFont="1" applyBorder="1" applyAlignment="1">
      <alignment/>
    </xf>
    <xf numFmtId="164" fontId="7" fillId="0" borderId="0" xfId="0" applyNumberFormat="1" applyFont="1" applyFill="1" applyBorder="1" applyAlignment="1">
      <alignment/>
    </xf>
    <xf numFmtId="0" fontId="13" fillId="35" borderId="0" xfId="0" applyFont="1" applyFill="1" applyBorder="1" applyAlignment="1">
      <alignment/>
    </xf>
    <xf numFmtId="164" fontId="13" fillId="35" borderId="0" xfId="0" applyNumberFormat="1" applyFont="1" applyFill="1" applyBorder="1" applyAlignment="1">
      <alignment/>
    </xf>
    <xf numFmtId="10" fontId="13" fillId="35" borderId="0" xfId="59" applyNumberFormat="1" applyFont="1" applyFill="1" applyBorder="1" applyAlignment="1">
      <alignment/>
    </xf>
    <xf numFmtId="0" fontId="5" fillId="36" borderId="0" xfId="0" applyFont="1" applyFill="1" applyBorder="1" applyAlignment="1">
      <alignment horizontal="center"/>
    </xf>
    <xf numFmtId="0" fontId="7" fillId="39" borderId="0" xfId="0" applyFont="1" applyFill="1" applyBorder="1" applyAlignment="1">
      <alignment/>
    </xf>
    <xf numFmtId="0" fontId="24" fillId="2" borderId="0" xfId="0" applyFont="1" applyAlignment="1">
      <alignment/>
    </xf>
    <xf numFmtId="0" fontId="25" fillId="2" borderId="40" xfId="0" applyFont="1" applyBorder="1" applyAlignment="1">
      <alignment/>
    </xf>
    <xf numFmtId="0" fontId="7" fillId="2" borderId="40" xfId="0" applyFont="1" applyBorder="1" applyAlignment="1">
      <alignment/>
    </xf>
    <xf numFmtId="0" fontId="26" fillId="2" borderId="40" xfId="0" applyFont="1" applyBorder="1" applyAlignment="1">
      <alignment/>
    </xf>
    <xf numFmtId="0" fontId="27" fillId="2" borderId="40" xfId="0" applyFont="1" applyBorder="1" applyAlignment="1">
      <alignment/>
    </xf>
    <xf numFmtId="0" fontId="28" fillId="2" borderId="40" xfId="0" applyFont="1" applyBorder="1" applyAlignment="1">
      <alignment/>
    </xf>
    <xf numFmtId="0" fontId="29" fillId="2" borderId="40" xfId="0" applyFont="1" applyBorder="1" applyAlignment="1">
      <alignment/>
    </xf>
    <xf numFmtId="0" fontId="7" fillId="2" borderId="16" xfId="0" applyFont="1" applyBorder="1" applyAlignment="1">
      <alignment/>
    </xf>
    <xf numFmtId="0" fontId="30" fillId="2" borderId="16" xfId="0" applyFont="1" applyBorder="1" applyAlignment="1">
      <alignment horizontal="left"/>
    </xf>
    <xf numFmtId="0" fontId="8" fillId="2" borderId="16" xfId="0" applyFont="1" applyBorder="1" applyAlignment="1">
      <alignment horizontal="center"/>
    </xf>
    <xf numFmtId="0" fontId="31" fillId="2" borderId="16" xfId="0" applyFont="1" applyBorder="1" applyAlignment="1">
      <alignment horizontal="left"/>
    </xf>
    <xf numFmtId="0" fontId="32" fillId="2" borderId="16" xfId="0" applyFont="1" applyBorder="1" applyAlignment="1">
      <alignment horizontal="left"/>
    </xf>
    <xf numFmtId="0" fontId="33" fillId="2" borderId="16" xfId="0" applyFont="1" applyBorder="1" applyAlignment="1">
      <alignment horizontal="left"/>
    </xf>
    <xf numFmtId="0" fontId="5" fillId="2" borderId="16" xfId="0" applyFont="1" applyBorder="1" applyAlignment="1">
      <alignment horizontal="center"/>
    </xf>
    <xf numFmtId="0" fontId="30" fillId="2" borderId="0" xfId="0" applyFont="1" applyBorder="1" applyAlignment="1">
      <alignment horizontal="left"/>
    </xf>
    <xf numFmtId="0" fontId="8" fillId="2" borderId="0" xfId="0" applyFont="1" applyBorder="1" applyAlignment="1">
      <alignment horizontal="center"/>
    </xf>
    <xf numFmtId="0" fontId="31" fillId="2" borderId="0" xfId="0" applyFont="1" applyBorder="1" applyAlignment="1">
      <alignment horizontal="left"/>
    </xf>
    <xf numFmtId="0" fontId="32" fillId="2" borderId="0" xfId="0" applyFont="1" applyBorder="1" applyAlignment="1">
      <alignment horizontal="left"/>
    </xf>
    <xf numFmtId="0" fontId="33" fillId="2" borderId="0" xfId="0" applyFont="1" applyBorder="1" applyAlignment="1">
      <alignment horizontal="left"/>
    </xf>
    <xf numFmtId="0" fontId="5" fillId="2" borderId="0" xfId="0" applyFont="1" applyBorder="1" applyAlignment="1">
      <alignment horizontal="center"/>
    </xf>
    <xf numFmtId="164" fontId="7" fillId="2" borderId="0" xfId="0" applyNumberFormat="1" applyFont="1" applyAlignment="1">
      <alignment/>
    </xf>
    <xf numFmtId="165" fontId="7" fillId="2" borderId="0" xfId="0" applyNumberFormat="1" applyFont="1" applyAlignment="1">
      <alignment/>
    </xf>
    <xf numFmtId="0" fontId="7" fillId="2" borderId="0" xfId="0" applyFont="1" applyAlignment="1">
      <alignment horizontal="center"/>
    </xf>
    <xf numFmtId="2" fontId="7" fillId="2" borderId="0" xfId="0" applyNumberFormat="1" applyFont="1" applyAlignment="1">
      <alignment/>
    </xf>
    <xf numFmtId="166" fontId="7" fillId="2" borderId="0" xfId="0" applyNumberFormat="1" applyFont="1" applyAlignment="1">
      <alignment/>
    </xf>
    <xf numFmtId="164" fontId="7" fillId="0" borderId="0" xfId="0" applyNumberFormat="1" applyFont="1" applyFill="1" applyAlignment="1">
      <alignment/>
    </xf>
    <xf numFmtId="2" fontId="7" fillId="0" borderId="0" xfId="0" applyNumberFormat="1" applyFont="1" applyFill="1" applyAlignment="1">
      <alignment/>
    </xf>
    <xf numFmtId="166" fontId="7" fillId="0" borderId="0" xfId="0" applyNumberFormat="1" applyFont="1" applyFill="1" applyAlignment="1">
      <alignment/>
    </xf>
    <xf numFmtId="164" fontId="24" fillId="2" borderId="0" xfId="0" applyNumberFormat="1" applyFont="1" applyAlignment="1">
      <alignment/>
    </xf>
    <xf numFmtId="0" fontId="21" fillId="2" borderId="0" xfId="0" applyFont="1" applyAlignment="1">
      <alignment/>
    </xf>
    <xf numFmtId="164" fontId="5" fillId="2" borderId="0" xfId="0" applyNumberFormat="1" applyFont="1" applyAlignment="1">
      <alignment/>
    </xf>
    <xf numFmtId="2" fontId="22" fillId="0" borderId="0" xfId="0" applyNumberFormat="1" applyFont="1" applyFill="1" applyAlignment="1">
      <alignment/>
    </xf>
    <xf numFmtId="164" fontId="23" fillId="0" borderId="0" xfId="0" applyNumberFormat="1" applyFont="1" applyFill="1" applyAlignment="1">
      <alignment/>
    </xf>
    <xf numFmtId="0" fontId="5" fillId="2" borderId="40" xfId="0" applyFont="1" applyBorder="1" applyAlignment="1">
      <alignment horizontal="center"/>
    </xf>
    <xf numFmtId="0" fontId="5" fillId="36" borderId="40" xfId="0" applyFont="1" applyFill="1" applyBorder="1" applyAlignment="1">
      <alignment horizontal="center"/>
    </xf>
    <xf numFmtId="0" fontId="5" fillId="36" borderId="16" xfId="0" applyFont="1" applyFill="1" applyBorder="1" applyAlignment="1">
      <alignment horizontal="center"/>
    </xf>
    <xf numFmtId="4" fontId="7" fillId="0" borderId="0" xfId="0" applyNumberFormat="1" applyFont="1" applyFill="1" applyAlignment="1">
      <alignment/>
    </xf>
    <xf numFmtId="3" fontId="7" fillId="0" borderId="0" xfId="0" applyNumberFormat="1" applyFont="1" applyFill="1" applyAlignment="1">
      <alignment horizontal="center" vertical="center"/>
    </xf>
    <xf numFmtId="0" fontId="30" fillId="35" borderId="0" xfId="0" applyFont="1" applyFill="1" applyBorder="1" applyAlignment="1">
      <alignment horizontal="left"/>
    </xf>
    <xf numFmtId="0" fontId="8" fillId="35" borderId="0" xfId="0" applyFont="1" applyFill="1" applyBorder="1" applyAlignment="1">
      <alignment horizontal="center"/>
    </xf>
    <xf numFmtId="0" fontId="7" fillId="35" borderId="0" xfId="0" applyFont="1" applyFill="1" applyBorder="1" applyAlignment="1">
      <alignment/>
    </xf>
    <xf numFmtId="0" fontId="31" fillId="35" borderId="0" xfId="0" applyFont="1" applyFill="1" applyBorder="1" applyAlignment="1">
      <alignment horizontal="left"/>
    </xf>
    <xf numFmtId="0" fontId="32" fillId="35" borderId="0" xfId="0" applyFont="1" applyFill="1" applyBorder="1" applyAlignment="1">
      <alignment horizontal="left"/>
    </xf>
    <xf numFmtId="0" fontId="33" fillId="35" borderId="0" xfId="0" applyFont="1" applyFill="1" applyBorder="1" applyAlignment="1">
      <alignment horizontal="left"/>
    </xf>
    <xf numFmtId="0" fontId="5" fillId="35" borderId="0" xfId="0" applyFont="1" applyFill="1" applyBorder="1" applyAlignment="1">
      <alignment horizontal="center"/>
    </xf>
    <xf numFmtId="0" fontId="34" fillId="35" borderId="0" xfId="0" applyFont="1" applyFill="1" applyBorder="1" applyAlignment="1">
      <alignment horizontal="center"/>
    </xf>
    <xf numFmtId="0" fontId="7" fillId="35" borderId="15" xfId="0" applyFont="1" applyFill="1" applyBorder="1" applyAlignment="1">
      <alignment/>
    </xf>
    <xf numFmtId="2" fontId="7" fillId="35" borderId="15" xfId="0" applyNumberFormat="1" applyFont="1" applyFill="1" applyBorder="1" applyAlignment="1">
      <alignment/>
    </xf>
    <xf numFmtId="166" fontId="7" fillId="35" borderId="15" xfId="0" applyNumberFormat="1" applyFont="1" applyFill="1" applyBorder="1" applyAlignment="1">
      <alignment/>
    </xf>
    <xf numFmtId="0" fontId="7" fillId="39" borderId="15" xfId="0" applyFont="1" applyFill="1" applyBorder="1" applyAlignment="1">
      <alignment/>
    </xf>
    <xf numFmtId="2" fontId="7" fillId="39" borderId="15" xfId="0" applyNumberFormat="1" applyFont="1" applyFill="1" applyBorder="1" applyAlignment="1">
      <alignment/>
    </xf>
    <xf numFmtId="166" fontId="7" fillId="39" borderId="15" xfId="0" applyNumberFormat="1" applyFont="1" applyFill="1" applyBorder="1" applyAlignment="1">
      <alignment/>
    </xf>
    <xf numFmtId="164" fontId="7" fillId="39" borderId="15" xfId="0" applyNumberFormat="1" applyFont="1" applyFill="1" applyBorder="1" applyAlignment="1">
      <alignment/>
    </xf>
    <xf numFmtId="0" fontId="7" fillId="39" borderId="15" xfId="0" applyFont="1" applyFill="1" applyBorder="1" applyAlignment="1">
      <alignment horizontal="center"/>
    </xf>
    <xf numFmtId="0" fontId="0" fillId="39" borderId="0" xfId="0" applyFill="1" applyBorder="1" applyAlignment="1">
      <alignment/>
    </xf>
    <xf numFmtId="164" fontId="5" fillId="39" borderId="15" xfId="0" applyNumberFormat="1" applyFont="1" applyFill="1" applyBorder="1" applyAlignment="1">
      <alignment/>
    </xf>
    <xf numFmtId="0" fontId="21" fillId="35" borderId="16" xfId="0" applyFont="1" applyFill="1" applyBorder="1" applyAlignment="1">
      <alignment/>
    </xf>
    <xf numFmtId="0" fontId="7" fillId="35" borderId="16" xfId="0" applyFont="1" applyFill="1" applyBorder="1" applyAlignment="1">
      <alignment/>
    </xf>
    <xf numFmtId="2" fontId="7" fillId="35" borderId="16" xfId="0" applyNumberFormat="1" applyFont="1" applyFill="1" applyBorder="1" applyAlignment="1">
      <alignment/>
    </xf>
    <xf numFmtId="166" fontId="7" fillId="35" borderId="16" xfId="0" applyNumberFormat="1" applyFont="1" applyFill="1" applyBorder="1" applyAlignment="1">
      <alignment/>
    </xf>
    <xf numFmtId="164" fontId="5" fillId="35" borderId="15" xfId="0" applyNumberFormat="1" applyFont="1" applyFill="1" applyBorder="1" applyAlignment="1">
      <alignment/>
    </xf>
    <xf numFmtId="164" fontId="5" fillId="35" borderId="16" xfId="0" applyNumberFormat="1" applyFont="1" applyFill="1" applyBorder="1" applyAlignment="1">
      <alignment/>
    </xf>
    <xf numFmtId="0" fontId="5" fillId="35" borderId="16" xfId="0" applyFont="1" applyFill="1" applyBorder="1" applyAlignment="1">
      <alignment horizontal="center"/>
    </xf>
    <xf numFmtId="2" fontId="5" fillId="35" borderId="16" xfId="0" applyNumberFormat="1" applyFont="1" applyFill="1" applyBorder="1" applyAlignment="1">
      <alignment/>
    </xf>
    <xf numFmtId="0" fontId="0" fillId="39" borderId="0" xfId="0" applyFill="1" applyAlignment="1">
      <alignment/>
    </xf>
    <xf numFmtId="2" fontId="22" fillId="39" borderId="15" xfId="0" applyNumberFormat="1" applyFont="1" applyFill="1" applyBorder="1" applyAlignment="1">
      <alignment/>
    </xf>
    <xf numFmtId="164" fontId="23" fillId="39" borderId="15" xfId="0" applyNumberFormat="1" applyFont="1" applyFill="1" applyBorder="1" applyAlignment="1">
      <alignment/>
    </xf>
    <xf numFmtId="0" fontId="0" fillId="35" borderId="0" xfId="0" applyFill="1" applyAlignment="1">
      <alignment/>
    </xf>
    <xf numFmtId="0" fontId="21" fillId="35" borderId="15" xfId="0" applyFont="1" applyFill="1" applyBorder="1" applyAlignment="1">
      <alignment/>
    </xf>
    <xf numFmtId="0" fontId="21" fillId="36" borderId="0" xfId="0" applyFont="1" applyFill="1" applyBorder="1" applyAlignment="1">
      <alignment/>
    </xf>
    <xf numFmtId="0" fontId="24" fillId="36" borderId="0" xfId="0" applyFont="1" applyFill="1" applyBorder="1" applyAlignment="1">
      <alignment/>
    </xf>
    <xf numFmtId="0" fontId="5" fillId="35" borderId="15" xfId="0" applyFont="1" applyFill="1" applyBorder="1" applyAlignment="1">
      <alignment horizontal="center"/>
    </xf>
    <xf numFmtId="2" fontId="5" fillId="35" borderId="15" xfId="0" applyNumberFormat="1" applyFont="1" applyFill="1" applyBorder="1" applyAlignment="1">
      <alignment/>
    </xf>
    <xf numFmtId="164" fontId="5" fillId="36" borderId="0" xfId="0" applyNumberFormat="1" applyFont="1" applyFill="1" applyBorder="1" applyAlignment="1">
      <alignment/>
    </xf>
    <xf numFmtId="166" fontId="5" fillId="36" borderId="0" xfId="0" applyNumberFormat="1" applyFont="1" applyFill="1" applyBorder="1" applyAlignment="1">
      <alignment/>
    </xf>
    <xf numFmtId="172" fontId="5" fillId="36" borderId="0" xfId="0" applyNumberFormat="1" applyFont="1" applyFill="1" applyBorder="1" applyAlignment="1">
      <alignment/>
    </xf>
    <xf numFmtId="165" fontId="5" fillId="36" borderId="0" xfId="0" applyNumberFormat="1" applyFont="1" applyFill="1" applyBorder="1" applyAlignment="1">
      <alignment/>
    </xf>
    <xf numFmtId="0" fontId="5" fillId="36" borderId="0" xfId="0" applyFont="1" applyFill="1" applyBorder="1" applyAlignment="1">
      <alignment/>
    </xf>
    <xf numFmtId="166" fontId="5" fillId="39" borderId="15" xfId="0" applyNumberFormat="1" applyFont="1" applyFill="1" applyBorder="1" applyAlignment="1">
      <alignment/>
    </xf>
    <xf numFmtId="172" fontId="5" fillId="39" borderId="15" xfId="0" applyNumberFormat="1" applyFont="1" applyFill="1" applyBorder="1" applyAlignment="1">
      <alignment/>
    </xf>
    <xf numFmtId="165" fontId="5" fillId="39" borderId="15" xfId="0" applyNumberFormat="1" applyFont="1" applyFill="1" applyBorder="1" applyAlignment="1">
      <alignment/>
    </xf>
    <xf numFmtId="0" fontId="14" fillId="39" borderId="0" xfId="0" applyFont="1" applyFill="1" applyAlignment="1">
      <alignment/>
    </xf>
    <xf numFmtId="4" fontId="7" fillId="39" borderId="15" xfId="0" applyNumberFormat="1" applyFont="1" applyFill="1" applyBorder="1" applyAlignment="1">
      <alignment/>
    </xf>
    <xf numFmtId="4" fontId="13" fillId="35" borderId="0" xfId="0" applyNumberFormat="1" applyFont="1" applyFill="1" applyBorder="1" applyAlignment="1">
      <alignment horizontal="right"/>
    </xf>
    <xf numFmtId="10" fontId="13" fillId="35" borderId="0" xfId="59" applyNumberFormat="1" applyFont="1" applyFill="1" applyAlignment="1">
      <alignment/>
    </xf>
    <xf numFmtId="164" fontId="7" fillId="36" borderId="0" xfId="0" applyNumberFormat="1" applyFont="1" applyFill="1" applyAlignment="1">
      <alignment/>
    </xf>
    <xf numFmtId="4" fontId="7" fillId="36" borderId="0" xfId="0" applyNumberFormat="1" applyFont="1" applyFill="1" applyAlignment="1">
      <alignment/>
    </xf>
    <xf numFmtId="164" fontId="23" fillId="36" borderId="0" xfId="0" applyNumberFormat="1" applyFont="1" applyFill="1" applyBorder="1" applyAlignment="1">
      <alignment/>
    </xf>
    <xf numFmtId="0" fontId="7" fillId="36" borderId="0" xfId="0" applyFont="1" applyFill="1" applyAlignment="1">
      <alignment horizontal="center"/>
    </xf>
    <xf numFmtId="2" fontId="7" fillId="36" borderId="0" xfId="0" applyNumberFormat="1" applyFont="1" applyFill="1" applyAlignment="1">
      <alignment/>
    </xf>
    <xf numFmtId="166" fontId="7" fillId="36" borderId="0" xfId="0" applyNumberFormat="1" applyFont="1" applyFill="1" applyAlignment="1">
      <alignment/>
    </xf>
    <xf numFmtId="0" fontId="7" fillId="36" borderId="16" xfId="0" applyFont="1" applyFill="1" applyBorder="1" applyAlignment="1">
      <alignment/>
    </xf>
    <xf numFmtId="164" fontId="7" fillId="36" borderId="16" xfId="0" applyNumberFormat="1" applyFont="1" applyFill="1" applyBorder="1" applyAlignment="1">
      <alignment/>
    </xf>
    <xf numFmtId="2" fontId="7" fillId="36" borderId="16" xfId="0" applyNumberFormat="1" applyFont="1" applyFill="1" applyBorder="1" applyAlignment="1">
      <alignment/>
    </xf>
    <xf numFmtId="0" fontId="7" fillId="36" borderId="0" xfId="0" applyFont="1" applyFill="1" applyAlignment="1">
      <alignment/>
    </xf>
    <xf numFmtId="0" fontId="21" fillId="35" borderId="0" xfId="0" applyFont="1" applyFill="1" applyBorder="1" applyAlignment="1">
      <alignment/>
    </xf>
    <xf numFmtId="4" fontId="5" fillId="35" borderId="15" xfId="0" applyNumberFormat="1" applyFont="1" applyFill="1" applyBorder="1" applyAlignment="1">
      <alignment/>
    </xf>
    <xf numFmtId="0" fontId="15" fillId="36" borderId="0" xfId="0" applyFont="1" applyFill="1" applyAlignment="1">
      <alignment/>
    </xf>
    <xf numFmtId="0" fontId="9" fillId="36" borderId="0" xfId="0" applyFont="1" applyFill="1" applyAlignment="1">
      <alignment/>
    </xf>
    <xf numFmtId="164" fontId="15" fillId="36" borderId="0" xfId="0" applyNumberFormat="1" applyFont="1" applyFill="1" applyAlignment="1">
      <alignment/>
    </xf>
    <xf numFmtId="0" fontId="9" fillId="36" borderId="15" xfId="0" applyFont="1" applyFill="1" applyBorder="1" applyAlignment="1">
      <alignment/>
    </xf>
    <xf numFmtId="4" fontId="9" fillId="36" borderId="0" xfId="0" applyNumberFormat="1" applyFont="1" applyFill="1" applyAlignment="1">
      <alignment/>
    </xf>
    <xf numFmtId="0" fontId="0" fillId="2" borderId="0" xfId="0" applyFont="1" applyAlignment="1">
      <alignment horizontal="center"/>
    </xf>
    <xf numFmtId="0" fontId="15" fillId="2" borderId="0" xfId="0" applyFont="1" applyBorder="1" applyAlignment="1">
      <alignment/>
    </xf>
    <xf numFmtId="0" fontId="15" fillId="2" borderId="0" xfId="0" applyFont="1" applyBorder="1" applyAlignment="1">
      <alignment horizontal="center"/>
    </xf>
    <xf numFmtId="0" fontId="36" fillId="2" borderId="0" xfId="0" applyFont="1" applyBorder="1" applyAlignment="1">
      <alignment/>
    </xf>
    <xf numFmtId="0" fontId="9" fillId="41" borderId="0" xfId="0" applyFont="1" applyFill="1" applyAlignment="1">
      <alignment/>
    </xf>
    <xf numFmtId="0" fontId="36" fillId="41" borderId="0" xfId="0" applyFont="1" applyFill="1" applyAlignment="1">
      <alignment/>
    </xf>
    <xf numFmtId="0" fontId="36" fillId="36" borderId="0" xfId="0" applyFont="1" applyFill="1" applyAlignment="1">
      <alignment/>
    </xf>
    <xf numFmtId="164" fontId="36" fillId="41" borderId="0" xfId="0" applyNumberFormat="1" applyFont="1" applyFill="1" applyAlignment="1">
      <alignment/>
    </xf>
    <xf numFmtId="164" fontId="36" fillId="36" borderId="0" xfId="0" applyNumberFormat="1" applyFont="1" applyFill="1" applyAlignment="1">
      <alignment/>
    </xf>
    <xf numFmtId="181" fontId="0" fillId="2" borderId="0" xfId="42" applyNumberFormat="1" applyFont="1" applyFill="1" applyAlignment="1">
      <alignment/>
    </xf>
    <xf numFmtId="0" fontId="6" fillId="35" borderId="15" xfId="0" applyFont="1" applyFill="1" applyBorder="1" applyAlignment="1">
      <alignment/>
    </xf>
    <xf numFmtId="0" fontId="0" fillId="35" borderId="15" xfId="0" applyFill="1" applyBorder="1" applyAlignment="1">
      <alignment/>
    </xf>
    <xf numFmtId="164" fontId="15" fillId="35" borderId="15" xfId="0" applyNumberFormat="1" applyFont="1" applyFill="1" applyBorder="1" applyAlignment="1">
      <alignment/>
    </xf>
    <xf numFmtId="0" fontId="6" fillId="35" borderId="0" xfId="0" applyFont="1" applyFill="1" applyBorder="1" applyAlignment="1">
      <alignment/>
    </xf>
    <xf numFmtId="0" fontId="0" fillId="35" borderId="0" xfId="0" applyFill="1" applyBorder="1" applyAlignment="1">
      <alignment/>
    </xf>
    <xf numFmtId="0" fontId="6" fillId="36" borderId="0" xfId="0" applyFont="1" applyFill="1" applyBorder="1" applyAlignment="1">
      <alignment/>
    </xf>
    <xf numFmtId="164" fontId="15" fillId="36" borderId="0" xfId="0" applyNumberFormat="1" applyFont="1" applyFill="1" applyBorder="1" applyAlignment="1">
      <alignment/>
    </xf>
    <xf numFmtId="0" fontId="15" fillId="36" borderId="0" xfId="0" applyFont="1" applyFill="1" applyBorder="1" applyAlignment="1">
      <alignment/>
    </xf>
    <xf numFmtId="0" fontId="15" fillId="39" borderId="15" xfId="0" applyFont="1" applyFill="1" applyBorder="1" applyAlignment="1">
      <alignment/>
    </xf>
    <xf numFmtId="0" fontId="0" fillId="39" borderId="15" xfId="0" applyFill="1" applyBorder="1" applyAlignment="1">
      <alignment/>
    </xf>
    <xf numFmtId="0" fontId="13" fillId="2" borderId="0" xfId="0" applyFont="1" applyAlignment="1">
      <alignment/>
    </xf>
    <xf numFmtId="0" fontId="6" fillId="39" borderId="0" xfId="0" applyFont="1" applyFill="1" applyAlignment="1">
      <alignment/>
    </xf>
    <xf numFmtId="0" fontId="6" fillId="39" borderId="0" xfId="0" applyFont="1" applyFill="1" applyAlignment="1">
      <alignment horizontal="left"/>
    </xf>
    <xf numFmtId="0" fontId="6" fillId="35" borderId="0" xfId="0" applyFont="1" applyFill="1" applyAlignment="1">
      <alignment/>
    </xf>
    <xf numFmtId="43" fontId="6" fillId="35" borderId="0" xfId="42" applyNumberFormat="1" applyFont="1" applyFill="1" applyAlignment="1">
      <alignment/>
    </xf>
    <xf numFmtId="0" fontId="6" fillId="35" borderId="0" xfId="0" applyFont="1" applyFill="1" applyAlignment="1">
      <alignment horizontal="left"/>
    </xf>
    <xf numFmtId="43" fontId="0" fillId="35" borderId="0" xfId="42" applyFont="1" applyFill="1" applyAlignment="1">
      <alignment/>
    </xf>
    <xf numFmtId="0" fontId="0" fillId="35" borderId="0" xfId="0" applyFont="1" applyFill="1" applyBorder="1" applyAlignment="1">
      <alignment/>
    </xf>
    <xf numFmtId="0" fontId="6" fillId="39" borderId="0" xfId="0" applyFont="1" applyFill="1" applyBorder="1" applyAlignment="1">
      <alignment/>
    </xf>
    <xf numFmtId="0" fontId="0" fillId="39" borderId="0" xfId="0" applyFont="1" applyFill="1" applyBorder="1" applyAlignment="1">
      <alignment/>
    </xf>
    <xf numFmtId="43" fontId="6" fillId="39" borderId="0" xfId="42" applyFont="1" applyFill="1" applyBorder="1" applyAlignment="1">
      <alignment/>
    </xf>
    <xf numFmtId="0" fontId="0" fillId="39" borderId="0" xfId="0" applyFont="1" applyFill="1" applyAlignment="1">
      <alignment horizontal="left"/>
    </xf>
    <xf numFmtId="0" fontId="0" fillId="35" borderId="0" xfId="0" applyFont="1" applyFill="1" applyAlignment="1">
      <alignment horizontal="left"/>
    </xf>
    <xf numFmtId="4" fontId="0" fillId="35" borderId="0" xfId="0" applyNumberFormat="1" applyFont="1" applyFill="1" applyAlignment="1">
      <alignment horizontal="right"/>
    </xf>
    <xf numFmtId="0" fontId="6" fillId="39" borderId="0" xfId="0" applyFont="1" applyFill="1" applyAlignment="1">
      <alignment horizontal="center"/>
    </xf>
    <xf numFmtId="3" fontId="6" fillId="39" borderId="0" xfId="0" applyNumberFormat="1" applyFont="1" applyFill="1" applyAlignment="1">
      <alignment horizontal="right"/>
    </xf>
    <xf numFmtId="9" fontId="0" fillId="39" borderId="0" xfId="59" applyFont="1" applyFill="1" applyAlignment="1">
      <alignment/>
    </xf>
    <xf numFmtId="3" fontId="0" fillId="39" borderId="0" xfId="0" applyNumberFormat="1" applyFont="1" applyFill="1" applyAlignment="1">
      <alignment horizontal="right"/>
    </xf>
    <xf numFmtId="9" fontId="0" fillId="39" borderId="0" xfId="59" applyFont="1" applyFill="1" applyBorder="1" applyAlignment="1">
      <alignment/>
    </xf>
    <xf numFmtId="0" fontId="0" fillId="38" borderId="40" xfId="0" applyFill="1" applyBorder="1" applyAlignment="1">
      <alignment/>
    </xf>
    <xf numFmtId="0" fontId="6" fillId="38" borderId="16" xfId="0" applyFont="1" applyFill="1" applyBorder="1" applyAlignment="1">
      <alignment/>
    </xf>
    <xf numFmtId="0" fontId="0" fillId="38" borderId="16" xfId="0" applyFill="1" applyBorder="1" applyAlignment="1">
      <alignment/>
    </xf>
    <xf numFmtId="43" fontId="6" fillId="38" borderId="16" xfId="0" applyNumberFormat="1" applyFont="1" applyFill="1" applyBorder="1" applyAlignment="1">
      <alignment/>
    </xf>
    <xf numFmtId="0" fontId="6" fillId="38" borderId="16" xfId="0" applyFont="1" applyFill="1" applyBorder="1" applyAlignment="1">
      <alignment horizontal="left"/>
    </xf>
    <xf numFmtId="183" fontId="15" fillId="37" borderId="41" xfId="42" applyNumberFormat="1" applyFont="1" applyFill="1" applyBorder="1" applyAlignment="1">
      <alignment/>
    </xf>
    <xf numFmtId="164" fontId="0" fillId="42" borderId="29" xfId="0" applyNumberFormat="1" applyFill="1" applyBorder="1" applyAlignment="1">
      <alignment/>
    </xf>
    <xf numFmtId="7" fontId="14" fillId="0" borderId="0" xfId="44" applyNumberFormat="1" applyFont="1" applyFill="1" applyBorder="1" applyAlignment="1">
      <alignment horizontal="right"/>
    </xf>
    <xf numFmtId="0" fontId="13" fillId="36" borderId="0" xfId="0" applyFont="1" applyFill="1" applyBorder="1" applyAlignment="1">
      <alignment/>
    </xf>
    <xf numFmtId="164" fontId="13" fillId="36" borderId="0" xfId="0" applyNumberFormat="1" applyFont="1" applyFill="1" applyBorder="1" applyAlignment="1">
      <alignment/>
    </xf>
    <xf numFmtId="10" fontId="13" fillId="36" borderId="0" xfId="59" applyNumberFormat="1" applyFont="1" applyFill="1" applyBorder="1" applyAlignment="1">
      <alignment/>
    </xf>
    <xf numFmtId="183" fontId="15" fillId="37" borderId="42" xfId="42" applyNumberFormat="1" applyFont="1" applyFill="1" applyBorder="1" applyAlignment="1">
      <alignment/>
    </xf>
    <xf numFmtId="43" fontId="0" fillId="42" borderId="29" xfId="0" applyNumberFormat="1" applyFont="1" applyFill="1" applyBorder="1" applyAlignment="1">
      <alignment/>
    </xf>
    <xf numFmtId="164" fontId="15" fillId="39" borderId="15" xfId="0" applyNumberFormat="1" applyFont="1" applyFill="1" applyBorder="1" applyAlignment="1">
      <alignment/>
    </xf>
    <xf numFmtId="0" fontId="35" fillId="36" borderId="0" xfId="0" applyFont="1" applyFill="1" applyBorder="1" applyAlignment="1">
      <alignment horizontal="center"/>
    </xf>
    <xf numFmtId="0" fontId="0" fillId="36" borderId="16" xfId="0" applyFill="1" applyBorder="1" applyAlignment="1">
      <alignment/>
    </xf>
    <xf numFmtId="0" fontId="7" fillId="36" borderId="15" xfId="0" applyFont="1" applyFill="1" applyBorder="1" applyAlignment="1">
      <alignment/>
    </xf>
    <xf numFmtId="0" fontId="7" fillId="2" borderId="0" xfId="0" applyFont="1" applyAlignment="1" quotePrefix="1">
      <alignment/>
    </xf>
    <xf numFmtId="164" fontId="7" fillId="0" borderId="0" xfId="0" applyNumberFormat="1" applyFont="1" applyFill="1" applyAlignment="1">
      <alignment horizontal="center" vertical="center"/>
    </xf>
    <xf numFmtId="0" fontId="7" fillId="0" borderId="0" xfId="0" applyFont="1" applyFill="1" applyAlignment="1">
      <alignment horizontal="center"/>
    </xf>
    <xf numFmtId="164" fontId="7" fillId="36" borderId="0" xfId="0" applyNumberFormat="1" applyFont="1" applyFill="1" applyAlignment="1">
      <alignment horizontal="center"/>
    </xf>
    <xf numFmtId="2" fontId="0" fillId="36" borderId="0" xfId="0" applyNumberFormat="1" applyFont="1" applyFill="1" applyBorder="1" applyAlignment="1">
      <alignment/>
    </xf>
    <xf numFmtId="0" fontId="13" fillId="36" borderId="0" xfId="0" applyFont="1" applyFill="1" applyAlignment="1">
      <alignment horizontal="center"/>
    </xf>
    <xf numFmtId="0" fontId="14" fillId="36" borderId="0" xfId="0" applyFont="1" applyFill="1" applyAlignment="1">
      <alignment/>
    </xf>
    <xf numFmtId="4" fontId="14" fillId="36" borderId="0" xfId="0" applyNumberFormat="1" applyFont="1" applyFill="1" applyBorder="1" applyAlignment="1">
      <alignment horizontal="right"/>
    </xf>
    <xf numFmtId="164" fontId="14" fillId="36" borderId="0" xfId="0" applyNumberFormat="1" applyFont="1" applyFill="1" applyAlignment="1">
      <alignment/>
    </xf>
    <xf numFmtId="10" fontId="14" fillId="36" borderId="0" xfId="0" applyNumberFormat="1" applyFont="1" applyFill="1" applyAlignment="1">
      <alignment/>
    </xf>
    <xf numFmtId="3" fontId="0" fillId="3" borderId="0" xfId="0" applyNumberFormat="1" applyFill="1" applyAlignment="1" applyProtection="1">
      <alignment/>
      <protection locked="0"/>
    </xf>
    <xf numFmtId="4" fontId="0" fillId="3" borderId="0" xfId="0" applyNumberFormat="1" applyFill="1" applyAlignment="1" applyProtection="1">
      <alignment/>
      <protection locked="0"/>
    </xf>
    <xf numFmtId="191" fontId="0" fillId="3" borderId="0" xfId="0" applyNumberFormat="1" applyFill="1" applyAlignment="1" applyProtection="1">
      <alignment/>
      <protection locked="0"/>
    </xf>
    <xf numFmtId="164" fontId="0" fillId="3" borderId="0" xfId="0" applyNumberFormat="1" applyFill="1" applyAlignment="1" applyProtection="1">
      <alignment/>
      <protection locked="0"/>
    </xf>
    <xf numFmtId="10" fontId="0" fillId="3" borderId="0" xfId="0" applyNumberFormat="1" applyFill="1" applyBorder="1" applyAlignment="1" applyProtection="1">
      <alignment horizontal="center"/>
      <protection locked="0"/>
    </xf>
    <xf numFmtId="166" fontId="0" fillId="7" borderId="39" xfId="0" applyNumberFormat="1" applyFill="1" applyBorder="1" applyAlignment="1" applyProtection="1">
      <alignment horizontal="center" vertical="center"/>
      <protection locked="0"/>
    </xf>
    <xf numFmtId="10" fontId="0" fillId="7" borderId="39" xfId="0" applyNumberFormat="1" applyFill="1" applyBorder="1" applyAlignment="1" applyProtection="1">
      <alignment horizontal="center" vertical="center"/>
      <protection locked="0"/>
    </xf>
    <xf numFmtId="166" fontId="0" fillId="7" borderId="29" xfId="0" applyNumberFormat="1" applyFill="1" applyBorder="1" applyAlignment="1" applyProtection="1">
      <alignment horizontal="center" vertical="center"/>
      <protection locked="0"/>
    </xf>
    <xf numFmtId="10" fontId="0" fillId="7" borderId="29" xfId="0" applyNumberFormat="1" applyFill="1" applyBorder="1" applyAlignment="1" applyProtection="1">
      <alignment horizontal="center" vertical="center"/>
      <protection locked="0"/>
    </xf>
    <xf numFmtId="188" fontId="0" fillId="7" borderId="29" xfId="0" applyNumberFormat="1" applyFill="1" applyBorder="1" applyAlignment="1" applyProtection="1">
      <alignment horizontal="center" vertical="center"/>
      <protection locked="0"/>
    </xf>
    <xf numFmtId="41" fontId="9" fillId="43" borderId="28" xfId="42" applyNumberFormat="1" applyFont="1" applyFill="1" applyBorder="1" applyAlignment="1" applyProtection="1">
      <alignment horizontal="right"/>
      <protection locked="0"/>
    </xf>
    <xf numFmtId="41" fontId="9" fillId="43" borderId="29" xfId="42" applyNumberFormat="1" applyFont="1" applyFill="1" applyBorder="1" applyAlignment="1" applyProtection="1">
      <alignment horizontal="right"/>
      <protection locked="0"/>
    </xf>
    <xf numFmtId="3" fontId="9" fillId="43" borderId="28" xfId="42" applyNumberFormat="1" applyFont="1" applyFill="1" applyBorder="1" applyAlignment="1" applyProtection="1">
      <alignment horizontal="right"/>
      <protection locked="0"/>
    </xf>
    <xf numFmtId="181" fontId="9" fillId="43" borderId="28" xfId="42" applyNumberFormat="1" applyFont="1" applyFill="1" applyBorder="1" applyAlignment="1" applyProtection="1">
      <alignment horizontal="left"/>
      <protection locked="0"/>
    </xf>
    <xf numFmtId="181" fontId="9" fillId="43" borderId="29" xfId="42" applyNumberFormat="1" applyFont="1" applyFill="1" applyBorder="1" applyAlignment="1" applyProtection="1">
      <alignment horizontal="left"/>
      <protection locked="0"/>
    </xf>
    <xf numFmtId="0" fontId="9" fillId="43" borderId="29" xfId="0" applyFont="1" applyFill="1" applyBorder="1" applyAlignment="1" applyProtection="1">
      <alignment/>
      <protection locked="0"/>
    </xf>
    <xf numFmtId="41" fontId="9" fillId="43" borderId="28" xfId="42" applyNumberFormat="1" applyFont="1" applyFill="1" applyBorder="1" applyAlignment="1" applyProtection="1">
      <alignment horizontal="left"/>
      <protection locked="0"/>
    </xf>
    <xf numFmtId="0" fontId="7" fillId="43" borderId="0" xfId="0" applyFont="1" applyFill="1" applyAlignment="1" applyProtection="1">
      <alignment/>
      <protection locked="0"/>
    </xf>
    <xf numFmtId="2" fontId="7" fillId="43" borderId="0" xfId="0" applyNumberFormat="1" applyFont="1" applyFill="1" applyAlignment="1" applyProtection="1">
      <alignment/>
      <protection locked="0"/>
    </xf>
    <xf numFmtId="166" fontId="7" fillId="43" borderId="0" xfId="0" applyNumberFormat="1" applyFont="1" applyFill="1" applyAlignment="1" applyProtection="1">
      <alignment/>
      <protection locked="0"/>
    </xf>
    <xf numFmtId="166" fontId="7" fillId="43" borderId="0" xfId="0" applyNumberFormat="1" applyFont="1" applyFill="1" applyBorder="1" applyAlignment="1" applyProtection="1">
      <alignment/>
      <protection locked="0"/>
    </xf>
    <xf numFmtId="164" fontId="7" fillId="43" borderId="0" xfId="0" applyNumberFormat="1" applyFont="1" applyFill="1" applyAlignment="1" applyProtection="1">
      <alignment/>
      <protection locked="0"/>
    </xf>
    <xf numFmtId="164" fontId="7" fillId="43" borderId="0" xfId="0" applyNumberFormat="1" applyFont="1" applyFill="1" applyAlignment="1" applyProtection="1">
      <alignment horizontal="center" vertical="center"/>
      <protection locked="0"/>
    </xf>
    <xf numFmtId="4" fontId="7" fillId="43" borderId="0" xfId="0" applyNumberFormat="1" applyFont="1" applyFill="1" applyAlignment="1" applyProtection="1">
      <alignment/>
      <protection locked="0"/>
    </xf>
    <xf numFmtId="3" fontId="7" fillId="43" borderId="0" xfId="0" applyNumberFormat="1" applyFont="1" applyFill="1" applyAlignment="1" applyProtection="1">
      <alignment horizontal="center" vertical="center"/>
      <protection locked="0"/>
    </xf>
    <xf numFmtId="0" fontId="7" fillId="43" borderId="0" xfId="0" applyFont="1" applyFill="1" applyAlignment="1" applyProtection="1">
      <alignment horizontal="center"/>
      <protection locked="0"/>
    </xf>
    <xf numFmtId="0" fontId="7" fillId="35" borderId="15" xfId="0" applyFont="1" applyFill="1" applyBorder="1" applyAlignment="1" applyProtection="1">
      <alignment/>
      <protection locked="0"/>
    </xf>
    <xf numFmtId="172" fontId="7" fillId="43" borderId="0" xfId="0" applyNumberFormat="1" applyFont="1" applyFill="1" applyBorder="1" applyAlignment="1" applyProtection="1">
      <alignment/>
      <protection locked="0"/>
    </xf>
    <xf numFmtId="0" fontId="0" fillId="2" borderId="0" xfId="0" applyFont="1" applyAlignment="1">
      <alignment horizontal="left" vertical="top" wrapText="1"/>
    </xf>
    <xf numFmtId="0" fontId="17" fillId="2" borderId="0" xfId="0" applyFont="1" applyAlignment="1">
      <alignment horizontal="center"/>
    </xf>
    <xf numFmtId="49" fontId="0" fillId="2" borderId="0" xfId="0" applyNumberFormat="1" applyFont="1" applyAlignment="1">
      <alignment horizontal="center"/>
    </xf>
    <xf numFmtId="0" fontId="0" fillId="2" borderId="0" xfId="0" applyFont="1" applyAlignment="1">
      <alignment horizontal="left" vertical="top" wrapText="1" readingOrder="1"/>
    </xf>
    <xf numFmtId="0" fontId="6" fillId="2" borderId="0" xfId="0" applyFont="1" applyAlignment="1">
      <alignment horizontal="left"/>
    </xf>
    <xf numFmtId="0" fontId="15" fillId="2" borderId="0" xfId="0" applyFont="1" applyAlignment="1">
      <alignment horizontal="center"/>
    </xf>
    <xf numFmtId="0" fontId="13" fillId="0" borderId="0" xfId="0" applyFont="1" applyFill="1" applyAlignment="1">
      <alignment horizontal="left"/>
    </xf>
    <xf numFmtId="0" fontId="13" fillId="36" borderId="0" xfId="0" applyFont="1" applyFill="1" applyAlignment="1">
      <alignment horizontal="left"/>
    </xf>
    <xf numFmtId="0" fontId="0" fillId="2" borderId="0" xfId="0" applyFont="1" applyAlignment="1">
      <alignment horizontal="center"/>
    </xf>
    <xf numFmtId="0" fontId="0" fillId="2"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7030A0"/>
  </sheetPr>
  <dimension ref="A1:K23"/>
  <sheetViews>
    <sheetView tabSelected="1" workbookViewId="0" topLeftCell="A1">
      <selection activeCell="A1" sqref="A1:K23"/>
    </sheetView>
  </sheetViews>
  <sheetFormatPr defaultColWidth="8.8515625" defaultRowHeight="12.75"/>
  <cols>
    <col min="1" max="1" width="4.140625" style="0" customWidth="1"/>
  </cols>
  <sheetData>
    <row r="1" spans="1:10" ht="12.75">
      <c r="A1" s="375" t="s">
        <v>188</v>
      </c>
      <c r="B1" s="375"/>
      <c r="C1" s="375"/>
      <c r="D1" s="375"/>
      <c r="E1" s="375"/>
      <c r="F1" s="375"/>
      <c r="G1" s="375"/>
      <c r="H1" s="375"/>
      <c r="I1" s="375"/>
      <c r="J1" s="375"/>
    </row>
    <row r="2" spans="1:10" ht="12.75">
      <c r="A2" s="375" t="s">
        <v>375</v>
      </c>
      <c r="B2" s="375"/>
      <c r="C2" s="375"/>
      <c r="D2" s="375"/>
      <c r="E2" s="375"/>
      <c r="F2" s="375"/>
      <c r="G2" s="375"/>
      <c r="H2" s="375"/>
      <c r="I2" s="375"/>
      <c r="J2" s="375"/>
    </row>
    <row r="3" spans="1:10" ht="12.75">
      <c r="A3" s="375"/>
      <c r="B3" s="375"/>
      <c r="C3" s="375"/>
      <c r="D3" s="375"/>
      <c r="E3" s="375"/>
      <c r="F3" s="375"/>
      <c r="G3" s="375"/>
      <c r="H3" s="375"/>
      <c r="I3" s="375"/>
      <c r="J3" s="375"/>
    </row>
    <row r="4" spans="1:10" ht="12">
      <c r="A4" s="376" t="s">
        <v>390</v>
      </c>
      <c r="B4" s="376"/>
      <c r="C4" s="376"/>
      <c r="D4" s="376"/>
      <c r="E4" s="376"/>
      <c r="F4" s="376"/>
      <c r="G4" s="376"/>
      <c r="H4" s="376"/>
      <c r="I4" s="376"/>
      <c r="J4" s="376"/>
    </row>
    <row r="5" spans="1:8" ht="7.5" customHeight="1">
      <c r="A5" s="126"/>
      <c r="C5" s="126"/>
      <c r="D5" s="126"/>
      <c r="E5" s="126"/>
      <c r="F5" s="126"/>
      <c r="G5" s="126"/>
      <c r="H5" s="126"/>
    </row>
    <row r="6" spans="1:8" ht="12.75">
      <c r="A6" s="126"/>
      <c r="B6" s="12" t="s">
        <v>103</v>
      </c>
      <c r="C6" s="126"/>
      <c r="D6" s="126"/>
      <c r="E6" s="126"/>
      <c r="F6" s="126"/>
      <c r="G6" s="126"/>
      <c r="H6" s="126"/>
    </row>
    <row r="7" spans="1:8" ht="7.5" customHeight="1">
      <c r="A7" s="126"/>
      <c r="C7" s="126"/>
      <c r="D7" s="126"/>
      <c r="E7" s="126"/>
      <c r="F7" s="126"/>
      <c r="G7" s="126"/>
      <c r="H7" s="126"/>
    </row>
    <row r="8" spans="1:8" ht="12.75">
      <c r="A8" s="126"/>
      <c r="B8" s="127" t="s">
        <v>345</v>
      </c>
      <c r="C8" s="126"/>
      <c r="D8" s="126"/>
      <c r="E8" s="126"/>
      <c r="F8" s="126"/>
      <c r="G8" s="126"/>
      <c r="H8" s="126"/>
    </row>
    <row r="9" spans="1:8" ht="12.75">
      <c r="A9" s="126"/>
      <c r="B9" s="12" t="s">
        <v>127</v>
      </c>
      <c r="C9" s="126"/>
      <c r="D9" s="126"/>
      <c r="E9" s="126"/>
      <c r="F9" s="126"/>
      <c r="G9" s="126"/>
      <c r="H9" s="126"/>
    </row>
    <row r="10" spans="1:8" ht="12.75">
      <c r="A10" s="126"/>
      <c r="B10" s="12" t="s">
        <v>126</v>
      </c>
      <c r="C10" s="126"/>
      <c r="D10" s="126"/>
      <c r="E10" s="126"/>
      <c r="F10" s="126"/>
      <c r="G10" s="126"/>
      <c r="H10" s="126"/>
    </row>
    <row r="11" spans="1:8" ht="9.75" customHeight="1">
      <c r="A11" s="126"/>
      <c r="C11" s="126"/>
      <c r="D11" s="126"/>
      <c r="E11" s="126"/>
      <c r="F11" s="126"/>
      <c r="G11" s="126"/>
      <c r="H11" s="126"/>
    </row>
    <row r="12" spans="2:10" ht="59.25" customHeight="1">
      <c r="B12" s="377" t="s">
        <v>243</v>
      </c>
      <c r="C12" s="377"/>
      <c r="D12" s="377"/>
      <c r="E12" s="377"/>
      <c r="F12" s="377"/>
      <c r="G12" s="377"/>
      <c r="H12" s="377"/>
      <c r="I12" s="377"/>
      <c r="J12" s="377"/>
    </row>
    <row r="13" spans="2:10" ht="79.5" customHeight="1">
      <c r="B13" s="374" t="s">
        <v>101</v>
      </c>
      <c r="C13" s="374"/>
      <c r="D13" s="374"/>
      <c r="E13" s="374"/>
      <c r="F13" s="374"/>
      <c r="G13" s="374"/>
      <c r="H13" s="374"/>
      <c r="I13" s="374"/>
      <c r="J13" s="374"/>
    </row>
    <row r="14" spans="2:10" ht="7.5" customHeight="1">
      <c r="B14" s="128"/>
      <c r="C14" s="128"/>
      <c r="D14" s="128"/>
      <c r="E14" s="128"/>
      <c r="F14" s="128"/>
      <c r="G14" s="128"/>
      <c r="H14" s="128"/>
      <c r="I14" s="128"/>
      <c r="J14" s="128"/>
    </row>
    <row r="15" spans="2:10" ht="64.5" customHeight="1">
      <c r="B15" s="374" t="s">
        <v>102</v>
      </c>
      <c r="C15" s="374"/>
      <c r="D15" s="374"/>
      <c r="E15" s="374"/>
      <c r="F15" s="374"/>
      <c r="G15" s="374"/>
      <c r="H15" s="374"/>
      <c r="I15" s="374"/>
      <c r="J15" s="374"/>
    </row>
    <row r="16" spans="2:9" ht="7.5" customHeight="1">
      <c r="B16" s="129"/>
      <c r="C16" s="129"/>
      <c r="D16" s="129"/>
      <c r="E16" s="129"/>
      <c r="F16" s="129"/>
      <c r="G16" s="129"/>
      <c r="H16" s="129"/>
      <c r="I16" s="129"/>
    </row>
    <row r="17" spans="2:10" ht="77.25" customHeight="1">
      <c r="B17" s="374" t="s">
        <v>370</v>
      </c>
      <c r="C17" s="374"/>
      <c r="D17" s="374"/>
      <c r="E17" s="374"/>
      <c r="F17" s="374"/>
      <c r="G17" s="374"/>
      <c r="H17" s="374"/>
      <c r="I17" s="374"/>
      <c r="J17" s="374"/>
    </row>
    <row r="18" ht="8.25" customHeight="1"/>
    <row r="19" spans="2:11" ht="12">
      <c r="B19" s="127" t="s">
        <v>128</v>
      </c>
      <c r="C19" s="45"/>
      <c r="D19" s="45"/>
      <c r="E19" s="45"/>
      <c r="F19" s="45"/>
      <c r="G19" s="45"/>
      <c r="H19" s="45"/>
      <c r="I19" s="45"/>
      <c r="J19" s="45"/>
      <c r="K19" s="45"/>
    </row>
    <row r="20" spans="2:11" ht="12">
      <c r="B20" s="127" t="s">
        <v>129</v>
      </c>
      <c r="C20" s="4"/>
      <c r="D20" s="4"/>
      <c r="E20" s="4"/>
      <c r="F20" s="4"/>
      <c r="G20" s="4"/>
      <c r="H20" s="4"/>
      <c r="I20" s="4"/>
      <c r="J20" s="4"/>
      <c r="K20" s="4"/>
    </row>
    <row r="21" spans="2:11" ht="12">
      <c r="B21" s="127" t="s">
        <v>130</v>
      </c>
      <c r="C21" s="4"/>
      <c r="D21" s="4"/>
      <c r="E21" s="4"/>
      <c r="F21" s="4"/>
      <c r="G21" s="4"/>
      <c r="H21" s="4"/>
      <c r="I21" s="4"/>
      <c r="J21" s="4"/>
      <c r="K21" s="4"/>
    </row>
    <row r="22" spans="2:11" ht="12">
      <c r="B22" s="127" t="s">
        <v>131</v>
      </c>
      <c r="C22" s="4"/>
      <c r="D22" s="4"/>
      <c r="E22" s="4"/>
      <c r="F22" s="4"/>
      <c r="G22" s="4"/>
      <c r="H22" s="4"/>
      <c r="I22" s="4"/>
      <c r="J22" s="4"/>
      <c r="K22" s="4"/>
    </row>
    <row r="23" spans="2:11" ht="12">
      <c r="B23" s="131" t="s">
        <v>369</v>
      </c>
      <c r="C23" s="4"/>
      <c r="D23" s="4"/>
      <c r="E23" s="4"/>
      <c r="F23" s="4"/>
      <c r="G23" s="4"/>
      <c r="H23" s="4"/>
      <c r="I23" s="4"/>
      <c r="J23" s="4"/>
      <c r="K23" s="4"/>
    </row>
  </sheetData>
  <sheetProtection password="ECAF" sheet="1" selectLockedCells="1"/>
  <mergeCells count="8">
    <mergeCell ref="B15:J15"/>
    <mergeCell ref="B17:J17"/>
    <mergeCell ref="A1:J1"/>
    <mergeCell ref="A2:J2"/>
    <mergeCell ref="A3:J3"/>
    <mergeCell ref="A4:J4"/>
    <mergeCell ref="B12:J12"/>
    <mergeCell ref="B13:J13"/>
  </mergeCells>
  <printOptions/>
  <pageMargins left="0.7" right="0.7" top="0.61" bottom="0.49"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tabColor rgb="FFFF0000"/>
  </sheetPr>
  <dimension ref="A1:O47"/>
  <sheetViews>
    <sheetView workbookViewId="0" topLeftCell="A4">
      <selection activeCell="G5" sqref="G5"/>
    </sheetView>
  </sheetViews>
  <sheetFormatPr defaultColWidth="8.8515625" defaultRowHeight="12.75"/>
  <cols>
    <col min="1" max="1" width="16.7109375" style="0" customWidth="1"/>
    <col min="2" max="7" width="8.8515625" style="0" customWidth="1"/>
    <col min="8" max="8" width="10.28125" style="0" bestFit="1" customWidth="1"/>
  </cols>
  <sheetData>
    <row r="1" spans="1:10" ht="12">
      <c r="A1" s="378" t="s">
        <v>377</v>
      </c>
      <c r="B1" s="378"/>
      <c r="C1" s="378"/>
      <c r="D1" s="378"/>
      <c r="E1" s="378"/>
      <c r="F1" s="378"/>
      <c r="G1" s="378"/>
      <c r="H1" s="378"/>
      <c r="I1" s="378"/>
      <c r="J1" s="132"/>
    </row>
    <row r="2" spans="1:10" ht="12">
      <c r="A2" s="43" t="s">
        <v>2</v>
      </c>
      <c r="B2" s="43"/>
      <c r="C2" s="43"/>
      <c r="D2" s="43"/>
      <c r="E2" s="43"/>
      <c r="F2" s="43"/>
      <c r="G2" s="43"/>
      <c r="H2" s="43"/>
      <c r="I2" s="43"/>
      <c r="J2" s="44"/>
    </row>
    <row r="3" ht="12">
      <c r="A3" s="3" t="s">
        <v>81</v>
      </c>
    </row>
    <row r="5" spans="2:7" ht="12">
      <c r="B5" t="s">
        <v>246</v>
      </c>
      <c r="G5" s="346">
        <v>15000</v>
      </c>
    </row>
    <row r="7" spans="2:8" ht="12">
      <c r="B7" s="12" t="s">
        <v>244</v>
      </c>
      <c r="G7" s="347">
        <v>1.02</v>
      </c>
      <c r="H7" s="4" t="s">
        <v>245</v>
      </c>
    </row>
    <row r="8" spans="2:8" ht="12">
      <c r="B8" s="12"/>
      <c r="C8" s="12" t="s">
        <v>2</v>
      </c>
      <c r="G8" s="159">
        <f>G5*G7</f>
        <v>15300</v>
      </c>
      <c r="H8" s="127" t="s">
        <v>256</v>
      </c>
    </row>
    <row r="9" spans="2:8" ht="12">
      <c r="B9" s="12"/>
      <c r="C9" s="12"/>
      <c r="G9" s="159">
        <f>G8/6</f>
        <v>2550</v>
      </c>
      <c r="H9" s="127" t="s">
        <v>258</v>
      </c>
    </row>
    <row r="10" ht="12">
      <c r="B10" s="12" t="s">
        <v>2</v>
      </c>
    </row>
    <row r="11" spans="3:9" ht="12">
      <c r="C11" s="12" t="s">
        <v>247</v>
      </c>
      <c r="G11" s="348">
        <v>0.1</v>
      </c>
      <c r="H11" s="289">
        <f aca="true" t="shared" si="0" ref="H11:H16">$G$8*G11</f>
        <v>1530</v>
      </c>
      <c r="I11" s="4" t="s">
        <v>107</v>
      </c>
    </row>
    <row r="12" spans="3:9" ht="12">
      <c r="C12" s="12" t="s">
        <v>248</v>
      </c>
      <c r="G12" s="348">
        <v>0.15</v>
      </c>
      <c r="H12" s="289">
        <f t="shared" si="0"/>
        <v>2295</v>
      </c>
      <c r="I12" s="4" t="s">
        <v>107</v>
      </c>
    </row>
    <row r="13" spans="3:9" ht="12">
      <c r="C13" s="12" t="s">
        <v>249</v>
      </c>
      <c r="G13" s="348">
        <v>0.25</v>
      </c>
      <c r="H13" s="289">
        <f t="shared" si="0"/>
        <v>3825</v>
      </c>
      <c r="I13" s="4" t="s">
        <v>107</v>
      </c>
    </row>
    <row r="14" spans="3:9" ht="12">
      <c r="C14" s="12" t="s">
        <v>250</v>
      </c>
      <c r="G14" s="348">
        <v>0.2</v>
      </c>
      <c r="H14" s="289">
        <f t="shared" si="0"/>
        <v>3060</v>
      </c>
      <c r="I14" s="4" t="s">
        <v>107</v>
      </c>
    </row>
    <row r="15" spans="3:9" ht="12">
      <c r="C15" s="12" t="s">
        <v>251</v>
      </c>
      <c r="G15" s="348">
        <v>0.15</v>
      </c>
      <c r="H15" s="289">
        <f t="shared" si="0"/>
        <v>2295</v>
      </c>
      <c r="I15" s="4" t="s">
        <v>107</v>
      </c>
    </row>
    <row r="16" spans="3:9" ht="12">
      <c r="C16" s="12" t="s">
        <v>252</v>
      </c>
      <c r="G16" s="348">
        <v>0.15</v>
      </c>
      <c r="H16" s="289">
        <f t="shared" si="0"/>
        <v>2295</v>
      </c>
      <c r="I16" s="4" t="s">
        <v>107</v>
      </c>
    </row>
    <row r="18" spans="2:9" ht="12">
      <c r="B18" s="12" t="s">
        <v>2</v>
      </c>
      <c r="C18" s="12" t="s">
        <v>253</v>
      </c>
      <c r="G18" s="348">
        <v>0.4</v>
      </c>
      <c r="H18" s="289">
        <f>$G$8*G18</f>
        <v>6120</v>
      </c>
      <c r="I18" s="4" t="s">
        <v>107</v>
      </c>
    </row>
    <row r="19" spans="3:8" ht="12">
      <c r="C19" s="12" t="s">
        <v>2</v>
      </c>
      <c r="D19" s="12" t="s">
        <v>254</v>
      </c>
      <c r="G19" s="349">
        <v>10</v>
      </c>
      <c r="H19" s="127" t="s">
        <v>259</v>
      </c>
    </row>
    <row r="20" spans="3:8" ht="12">
      <c r="C20" s="12"/>
      <c r="D20" s="12"/>
      <c r="G20" s="122">
        <f>G19/6</f>
        <v>1.6666666666666667</v>
      </c>
      <c r="H20" s="127" t="s">
        <v>260</v>
      </c>
    </row>
    <row r="21" spans="3:8" ht="12">
      <c r="C21" s="12"/>
      <c r="D21" s="12"/>
      <c r="G21" s="122"/>
      <c r="H21" s="127"/>
    </row>
    <row r="22" spans="3:9" ht="12">
      <c r="C22" s="12" t="s">
        <v>255</v>
      </c>
      <c r="G22" s="348">
        <v>0.6</v>
      </c>
      <c r="H22" s="289">
        <f>$G$8*G22</f>
        <v>9180</v>
      </c>
      <c r="I22" s="4" t="s">
        <v>107</v>
      </c>
    </row>
    <row r="23" spans="3:8" ht="12">
      <c r="C23" s="12" t="s">
        <v>2</v>
      </c>
      <c r="D23" s="12" t="s">
        <v>254</v>
      </c>
      <c r="G23" s="349">
        <v>12</v>
      </c>
      <c r="H23" s="127" t="s">
        <v>259</v>
      </c>
    </row>
    <row r="24" spans="7:15" ht="12">
      <c r="G24" s="33">
        <f>G23/6</f>
        <v>2</v>
      </c>
      <c r="H24" s="127" t="s">
        <v>260</v>
      </c>
      <c r="O24" s="120"/>
    </row>
    <row r="25" spans="1:15" ht="12">
      <c r="A25" s="3" t="s">
        <v>84</v>
      </c>
      <c r="O25" s="120"/>
    </row>
    <row r="26" ht="12">
      <c r="O26" s="120"/>
    </row>
    <row r="27" ht="12">
      <c r="B27" s="12" t="s">
        <v>83</v>
      </c>
    </row>
    <row r="28" spans="3:8" ht="12">
      <c r="C28" s="12" t="s">
        <v>105</v>
      </c>
      <c r="G28" s="349">
        <v>14</v>
      </c>
      <c r="H28" s="12" t="s">
        <v>261</v>
      </c>
    </row>
    <row r="29" spans="3:8" ht="12">
      <c r="C29" s="12" t="s">
        <v>106</v>
      </c>
      <c r="G29" s="349">
        <v>10.6</v>
      </c>
      <c r="H29" s="12" t="s">
        <v>261</v>
      </c>
    </row>
    <row r="30" spans="2:8" ht="12">
      <c r="B30" s="12" t="s">
        <v>82</v>
      </c>
      <c r="G30" s="349">
        <v>1.15</v>
      </c>
      <c r="H30" s="12" t="s">
        <v>259</v>
      </c>
    </row>
    <row r="31" spans="2:8" ht="12">
      <c r="B31" s="12"/>
      <c r="G31" s="122"/>
      <c r="H31" s="12"/>
    </row>
    <row r="32" spans="2:8" ht="12">
      <c r="B32" s="113" t="s">
        <v>362</v>
      </c>
      <c r="G32" s="349">
        <v>0.75</v>
      </c>
      <c r="H32" s="12" t="s">
        <v>363</v>
      </c>
    </row>
    <row r="34" spans="2:8" ht="12">
      <c r="B34" s="12" t="s">
        <v>118</v>
      </c>
      <c r="G34" s="349">
        <v>3</v>
      </c>
      <c r="H34" s="12" t="s">
        <v>262</v>
      </c>
    </row>
    <row r="35" spans="2:8" ht="12">
      <c r="B35" s="12" t="s">
        <v>119</v>
      </c>
      <c r="G35" s="349">
        <v>3.5</v>
      </c>
      <c r="H35" s="12" t="s">
        <v>262</v>
      </c>
    </row>
    <row r="37" spans="2:7" ht="12">
      <c r="B37" t="s">
        <v>69</v>
      </c>
      <c r="C37" s="120"/>
      <c r="D37" s="120"/>
      <c r="E37" s="130"/>
      <c r="G37" s="350">
        <v>0.05</v>
      </c>
    </row>
    <row r="38" spans="2:7" ht="12">
      <c r="B38" t="s">
        <v>70</v>
      </c>
      <c r="C38" s="120"/>
      <c r="D38" s="130"/>
      <c r="E38" s="130"/>
      <c r="G38" s="350">
        <v>0.01</v>
      </c>
    </row>
    <row r="39" spans="2:7" ht="12">
      <c r="B39" t="s">
        <v>71</v>
      </c>
      <c r="C39" s="120"/>
      <c r="D39" s="120"/>
      <c r="E39" s="120"/>
      <c r="G39" s="350">
        <v>0.01</v>
      </c>
    </row>
    <row r="40" spans="3:7" ht="12">
      <c r="C40" s="120"/>
      <c r="D40" s="120"/>
      <c r="E40" s="120"/>
      <c r="G40" s="133"/>
    </row>
    <row r="41" spans="1:7" ht="12">
      <c r="A41" s="3" t="s">
        <v>108</v>
      </c>
      <c r="C41" s="120"/>
      <c r="D41" s="120"/>
      <c r="E41" s="120"/>
      <c r="G41" s="133"/>
    </row>
    <row r="42" ht="13.5" customHeight="1"/>
    <row r="43" spans="1:9" ht="60.75" thickBot="1">
      <c r="A43" s="134" t="s">
        <v>110</v>
      </c>
      <c r="B43" s="134" t="s">
        <v>94</v>
      </c>
      <c r="C43" s="134" t="s">
        <v>95</v>
      </c>
      <c r="D43" s="134" t="s">
        <v>96</v>
      </c>
      <c r="E43" s="135" t="s">
        <v>109</v>
      </c>
      <c r="F43" s="135" t="s">
        <v>97</v>
      </c>
      <c r="G43" s="135" t="s">
        <v>98</v>
      </c>
      <c r="H43" s="135" t="s">
        <v>99</v>
      </c>
      <c r="I43" s="135" t="s">
        <v>100</v>
      </c>
    </row>
    <row r="44" spans="1:9" ht="13.5" customHeight="1" thickBot="1" thickTop="1">
      <c r="A44" s="136" t="s">
        <v>72</v>
      </c>
      <c r="B44" s="156">
        <f>G$35</f>
        <v>3.5</v>
      </c>
      <c r="C44" s="351">
        <v>1.5</v>
      </c>
      <c r="D44" s="352">
        <v>0.02</v>
      </c>
      <c r="E44" s="137"/>
      <c r="F44" s="137"/>
      <c r="G44" s="138">
        <f>B44*C44</f>
        <v>5.25</v>
      </c>
      <c r="H44" s="139">
        <f>G44*D44</f>
        <v>0.105</v>
      </c>
      <c r="I44" s="139">
        <f>G44+H44</f>
        <v>5.355</v>
      </c>
    </row>
    <row r="45" spans="1:9" ht="13.5" customHeight="1" thickBot="1" thickTop="1">
      <c r="A45" s="140" t="s">
        <v>73</v>
      </c>
      <c r="B45" s="156">
        <f>G$35</f>
        <v>3.5</v>
      </c>
      <c r="C45" s="353">
        <v>2.5</v>
      </c>
      <c r="D45" s="354">
        <v>0.02</v>
      </c>
      <c r="E45" s="141"/>
      <c r="F45" s="141"/>
      <c r="G45" s="142">
        <f>B45*C45</f>
        <v>8.75</v>
      </c>
      <c r="H45" s="143">
        <f>G45*D45</f>
        <v>0.17500000000000002</v>
      </c>
      <c r="I45" s="143">
        <f>G45+H45</f>
        <v>8.925</v>
      </c>
    </row>
    <row r="46" spans="1:9" ht="13.5" customHeight="1" thickBot="1" thickTop="1">
      <c r="A46" s="140" t="s">
        <v>74</v>
      </c>
      <c r="B46" s="156">
        <f>G$35</f>
        <v>3.5</v>
      </c>
      <c r="C46" s="353">
        <v>0.375</v>
      </c>
      <c r="D46" s="354">
        <v>0.02</v>
      </c>
      <c r="E46" s="144"/>
      <c r="F46" s="144"/>
      <c r="G46" s="142">
        <f>B46*C46</f>
        <v>1.3125</v>
      </c>
      <c r="H46" s="143">
        <f>G46*D46</f>
        <v>0.02625</v>
      </c>
      <c r="I46" s="143">
        <f>G46+H46</f>
        <v>1.33875</v>
      </c>
    </row>
    <row r="47" spans="1:9" ht="13.5" customHeight="1" thickTop="1">
      <c r="A47" s="145" t="s">
        <v>104</v>
      </c>
      <c r="B47" s="156">
        <f>G$34</f>
        <v>3</v>
      </c>
      <c r="C47" s="155"/>
      <c r="D47" s="354">
        <v>0.02</v>
      </c>
      <c r="E47" s="355">
        <v>15</v>
      </c>
      <c r="F47" s="355">
        <v>50</v>
      </c>
      <c r="G47" s="142">
        <f>(B47*F47)/E47</f>
        <v>10</v>
      </c>
      <c r="H47" s="143">
        <f>G47*D47</f>
        <v>0.2</v>
      </c>
      <c r="I47" s="143">
        <f>G47+H47</f>
        <v>10.2</v>
      </c>
    </row>
  </sheetData>
  <sheetProtection password="ECAF" sheet="1" selectLockedCells="1"/>
  <mergeCells count="1">
    <mergeCell ref="A1:I1"/>
  </mergeCells>
  <printOptions/>
  <pageMargins left="0.64" right="0.41"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sheetPr>
    <tabColor rgb="FF7030A0"/>
  </sheetPr>
  <dimension ref="A1:J123"/>
  <sheetViews>
    <sheetView showGridLines="0" workbookViewId="0" topLeftCell="A1">
      <selection activeCell="A1" sqref="A1:J123"/>
    </sheetView>
  </sheetViews>
  <sheetFormatPr defaultColWidth="8.8515625" defaultRowHeight="12.75"/>
  <cols>
    <col min="1" max="5" width="8.8515625" style="0" customWidth="1"/>
    <col min="6" max="6" width="9.28125" style="0" bestFit="1" customWidth="1"/>
    <col min="7" max="7" width="10.28125" style="0" customWidth="1"/>
    <col min="8" max="9" width="9.8515625" style="0" bestFit="1" customWidth="1"/>
  </cols>
  <sheetData>
    <row r="1" spans="1:10" ht="12">
      <c r="A1" s="379" t="s">
        <v>263</v>
      </c>
      <c r="B1" s="379"/>
      <c r="C1" s="379"/>
      <c r="D1" s="379"/>
      <c r="E1" s="379"/>
      <c r="F1" s="379"/>
      <c r="G1" s="379"/>
      <c r="H1" s="379"/>
      <c r="I1" s="379"/>
      <c r="J1" s="379"/>
    </row>
    <row r="2" spans="1:10" ht="12.75" thickBot="1">
      <c r="A2" s="64" t="s">
        <v>2</v>
      </c>
      <c r="C2" s="64" t="s">
        <v>80</v>
      </c>
      <c r="E2" s="65">
        <f>Assumptions!G8</f>
        <v>15300</v>
      </c>
      <c r="F2" s="64" t="s">
        <v>79</v>
      </c>
      <c r="G2" s="65">
        <f>Assumptions!G9</f>
        <v>2550</v>
      </c>
      <c r="H2" s="64" t="s">
        <v>270</v>
      </c>
      <c r="I2" s="64"/>
      <c r="J2" s="64"/>
    </row>
    <row r="3" spans="2:10" ht="12">
      <c r="B3" s="55"/>
      <c r="C3" s="51"/>
      <c r="D3" s="58"/>
      <c r="E3" s="51"/>
      <c r="F3" s="49" t="s">
        <v>36</v>
      </c>
      <c r="G3" s="49" t="s">
        <v>37</v>
      </c>
      <c r="H3" s="49" t="s">
        <v>38</v>
      </c>
      <c r="I3" s="49" t="s">
        <v>39</v>
      </c>
      <c r="J3" s="49" t="s">
        <v>77</v>
      </c>
    </row>
    <row r="4" spans="1:10" ht="12.75" thickBot="1">
      <c r="A4" s="46" t="s">
        <v>3</v>
      </c>
      <c r="B4" s="46" t="s">
        <v>78</v>
      </c>
      <c r="C4" s="46"/>
      <c r="D4" s="46"/>
      <c r="E4" s="46"/>
      <c r="F4" s="50" t="s">
        <v>63</v>
      </c>
      <c r="G4" s="50" t="s">
        <v>63</v>
      </c>
      <c r="H4" s="50" t="s">
        <v>63</v>
      </c>
      <c r="I4" s="50" t="s">
        <v>63</v>
      </c>
      <c r="J4" s="50" t="s">
        <v>63</v>
      </c>
    </row>
    <row r="5" spans="1:10" ht="12">
      <c r="A5" s="283" t="s">
        <v>238</v>
      </c>
      <c r="B5" s="281"/>
      <c r="C5" s="281"/>
      <c r="D5" s="281"/>
      <c r="E5" s="281"/>
      <c r="F5" s="282"/>
      <c r="G5" s="282"/>
      <c r="H5" s="282"/>
      <c r="I5" s="282"/>
      <c r="J5" s="282"/>
    </row>
    <row r="6" spans="1:10" ht="12">
      <c r="A6" s="51" t="s">
        <v>30</v>
      </c>
      <c r="B6" s="13"/>
      <c r="C6" s="13"/>
      <c r="D6" s="13"/>
      <c r="E6" s="51"/>
      <c r="F6" s="52" t="s">
        <v>2</v>
      </c>
      <c r="G6" s="52" t="s">
        <v>2</v>
      </c>
      <c r="H6" s="52" t="s">
        <v>2</v>
      </c>
      <c r="I6" s="52" t="s">
        <v>2</v>
      </c>
      <c r="J6" s="51"/>
    </row>
    <row r="7" spans="1:10" ht="12">
      <c r="A7" s="51"/>
      <c r="B7" s="51" t="s">
        <v>347</v>
      </c>
      <c r="C7" s="13"/>
      <c r="D7" s="13"/>
      <c r="E7" s="51"/>
      <c r="F7" s="52">
        <f>ProductionSequence!H8+ProductionSequence!H9</f>
        <v>61.97268</v>
      </c>
      <c r="G7" s="52">
        <f>ProductionSequence!L8+ProductionSequence!L9</f>
        <v>18.4</v>
      </c>
      <c r="H7" s="52">
        <f>ProductionSequence!O8+ProductionSequence!O9</f>
        <v>38.16</v>
      </c>
      <c r="I7" s="52">
        <f>ProductionSequence!P8+ProductionSequence!P9</f>
        <v>118.53268</v>
      </c>
      <c r="J7" s="54"/>
    </row>
    <row r="8" spans="1:10" s="60" customFormat="1" ht="12">
      <c r="A8" s="275"/>
      <c r="B8" s="276" t="s">
        <v>235</v>
      </c>
      <c r="C8" s="272"/>
      <c r="D8" s="272"/>
      <c r="E8" s="276"/>
      <c r="F8" s="279">
        <f>ProductionSequence!H10+ProductionSequence!H11+ProductionSequence!H12</f>
        <v>65.32321333333333</v>
      </c>
      <c r="G8" s="279">
        <f>ProductionSequence!L10+ProductionSequence!L11+ProductionSequence!L12</f>
        <v>0</v>
      </c>
      <c r="H8" s="279">
        <f>ProductionSequence!O10+ProductionSequence!O11+ProductionSequence!O12</f>
        <v>241.67999999999998</v>
      </c>
      <c r="I8" s="279">
        <f>ProductionSequence!P10+ProductionSequence!P11+ProductionSequence!P12</f>
        <v>307.00321333333335</v>
      </c>
      <c r="J8" s="278"/>
    </row>
    <row r="9" spans="1:10" s="60" customFormat="1" ht="12">
      <c r="A9" s="275"/>
      <c r="B9" s="276" t="s">
        <v>322</v>
      </c>
      <c r="C9" s="272"/>
      <c r="D9" s="272"/>
      <c r="E9" s="276"/>
      <c r="F9" s="52">
        <f>ProductionSequence!G13</f>
        <v>17.44746</v>
      </c>
      <c r="G9" s="52">
        <f>ProductionSequence!L13</f>
        <v>204</v>
      </c>
      <c r="H9" s="52">
        <f>ProductionSequence!O13</f>
        <v>12.719999999999999</v>
      </c>
      <c r="I9" s="52">
        <f>ProductionSequence!P13</f>
        <v>234.16746</v>
      </c>
      <c r="J9" s="278"/>
    </row>
    <row r="10" spans="1:10" ht="12">
      <c r="A10" s="51"/>
      <c r="B10" s="51" t="s">
        <v>197</v>
      </c>
      <c r="C10" s="13"/>
      <c r="D10" s="13"/>
      <c r="E10" s="51"/>
      <c r="F10" s="52">
        <f>ProductionSequence!G14</f>
        <v>18.742626666666666</v>
      </c>
      <c r="G10" s="52">
        <f>ProductionSequence!L14</f>
        <v>0</v>
      </c>
      <c r="H10" s="52">
        <f>ProductionSequence!O14</f>
        <v>12.719999999999999</v>
      </c>
      <c r="I10" s="52">
        <f>ProductionSequence!P14</f>
        <v>31.462626666666665</v>
      </c>
      <c r="J10" s="54"/>
    </row>
    <row r="11" spans="1:10" ht="12">
      <c r="A11" s="51"/>
      <c r="B11" s="51" t="s">
        <v>194</v>
      </c>
      <c r="C11" s="13"/>
      <c r="D11" s="13"/>
      <c r="E11" s="51"/>
      <c r="F11" s="52">
        <f>ProductionSequence!G15</f>
        <v>0</v>
      </c>
      <c r="G11" s="52">
        <f>ProductionSequence!L15</f>
        <v>55</v>
      </c>
      <c r="H11" s="52">
        <f>ProductionSequence!O15</f>
        <v>0</v>
      </c>
      <c r="I11" s="52">
        <f>ProductionSequence!P15</f>
        <v>55</v>
      </c>
      <c r="J11" s="54"/>
    </row>
    <row r="12" spans="1:10" ht="12">
      <c r="A12" s="275" t="s">
        <v>2</v>
      </c>
      <c r="B12" s="276" t="s">
        <v>198</v>
      </c>
      <c r="C12" s="272"/>
      <c r="D12" s="272"/>
      <c r="E12" s="276"/>
      <c r="F12" s="279">
        <f>ProductionSequence!H16+ProductionSequence!H17+ProductionSequence!H18+ProductionSequence!H19+ProductionSequence!H20+ProductionSequence!H21</f>
        <v>59.868880000000004</v>
      </c>
      <c r="G12" s="279">
        <f>ProductionSequence!L16+ProductionSequence!L17+ProductionSequence!L18+ProductionSequence!L19+ProductionSequence!L20+ProductionSequence!L21</f>
        <v>47.160000000000004</v>
      </c>
      <c r="H12" s="279">
        <f>ProductionSequence!O16+ProductionSequence!O17+ProductionSequence!O18+ProductionSequence!O19+ProductionSequence!O20+ProductionSequence!O21</f>
        <v>38.16</v>
      </c>
      <c r="I12" s="279">
        <f>ProductionSequence!P16+ProductionSequence!P17+ProductionSequence!P18+ProductionSequence!P19+ProductionSequence!P20+ProductionSequence!P21</f>
        <v>145.18888</v>
      </c>
      <c r="J12" s="54"/>
    </row>
    <row r="13" spans="1:10" ht="12">
      <c r="A13" s="275" t="s">
        <v>31</v>
      </c>
      <c r="B13" s="276"/>
      <c r="C13" s="276"/>
      <c r="D13" s="276"/>
      <c r="E13" s="276"/>
      <c r="F13" s="277">
        <f>ProductionSequence!H22</f>
        <v>223.35485999999997</v>
      </c>
      <c r="G13" s="277">
        <f>ProductionSequence!L22</f>
        <v>324.55999999999995</v>
      </c>
      <c r="H13" s="277">
        <f>ProductionSequence!O22</f>
        <v>343.44000000000005</v>
      </c>
      <c r="I13" s="277">
        <f>ProductionSequence!P22</f>
        <v>891.35486</v>
      </c>
      <c r="J13" s="54"/>
    </row>
    <row r="14" spans="1:10" ht="12">
      <c r="A14" s="285" t="s">
        <v>239</v>
      </c>
      <c r="B14" s="284"/>
      <c r="C14" s="284"/>
      <c r="D14" s="284"/>
      <c r="E14" s="284"/>
      <c r="F14" s="287">
        <f>ProductionSequence!H23</f>
        <v>223.35485999999997</v>
      </c>
      <c r="G14" s="287">
        <f>ProductionSequence!L23</f>
        <v>324.55999999999995</v>
      </c>
      <c r="H14" s="287">
        <f>ProductionSequence!O23</f>
        <v>343.44000000000005</v>
      </c>
      <c r="I14" s="287">
        <f>ProductionSequence!P23</f>
        <v>891.35486</v>
      </c>
      <c r="J14" s="54"/>
    </row>
    <row r="15" spans="1:10" ht="12">
      <c r="A15" s="286"/>
      <c r="B15" s="276"/>
      <c r="C15" s="276"/>
      <c r="D15" s="276"/>
      <c r="E15" s="276"/>
      <c r="F15" s="277" t="s">
        <v>2</v>
      </c>
      <c r="G15" s="277" t="s">
        <v>2</v>
      </c>
      <c r="H15" s="277" t="s">
        <v>2</v>
      </c>
      <c r="I15" s="277" t="s">
        <v>2</v>
      </c>
      <c r="J15" s="54"/>
    </row>
    <row r="16" spans="1:10" ht="12">
      <c r="A16" s="286" t="s">
        <v>240</v>
      </c>
      <c r="B16" s="276"/>
      <c r="C16" s="276"/>
      <c r="D16" s="276"/>
      <c r="E16" s="276"/>
      <c r="F16" s="277"/>
      <c r="G16" s="277"/>
      <c r="H16" s="277"/>
      <c r="I16" s="277"/>
      <c r="J16" s="54"/>
    </row>
    <row r="17" spans="1:10" ht="12">
      <c r="A17" s="51" t="s">
        <v>33</v>
      </c>
      <c r="B17" s="28" t="s">
        <v>2</v>
      </c>
      <c r="C17" s="154"/>
      <c r="D17" s="154"/>
      <c r="E17" s="51"/>
      <c r="F17" s="52" t="s">
        <v>2</v>
      </c>
      <c r="G17" s="52" t="s">
        <v>2</v>
      </c>
      <c r="H17" s="52" t="s">
        <v>2</v>
      </c>
      <c r="I17" s="52" t="s">
        <v>2</v>
      </c>
      <c r="J17" s="54" t="s">
        <v>2</v>
      </c>
    </row>
    <row r="18" spans="1:10" ht="12">
      <c r="A18" s="51"/>
      <c r="B18" s="28" t="s">
        <v>327</v>
      </c>
      <c r="C18" s="154"/>
      <c r="D18" s="154"/>
      <c r="E18" s="51"/>
      <c r="F18" s="52">
        <f>ProductionSequence!H27</f>
        <v>33.64290666666667</v>
      </c>
      <c r="G18" s="52">
        <f>ProductionSequence!L27</f>
        <v>0</v>
      </c>
      <c r="H18" s="52">
        <f>ProductionSequence!O27</f>
        <v>25.439999999999998</v>
      </c>
      <c r="I18" s="52">
        <f>ProductionSequence!P27</f>
        <v>59.082906666666666</v>
      </c>
      <c r="J18" s="54"/>
    </row>
    <row r="19" spans="1:10" ht="12">
      <c r="A19" s="51"/>
      <c r="B19" s="51" t="s">
        <v>199</v>
      </c>
      <c r="C19" s="154"/>
      <c r="D19" s="154"/>
      <c r="E19" s="51"/>
      <c r="F19" s="52">
        <f>ProductionSequence!H28</f>
        <v>108.81475999999999</v>
      </c>
      <c r="G19" s="52">
        <f>ProductionSequence!L28</f>
        <v>0</v>
      </c>
      <c r="H19" s="52">
        <f>ProductionSequence!O28</f>
        <v>76.32</v>
      </c>
      <c r="I19" s="52">
        <f>ProductionSequence!P28</f>
        <v>185.13475999999997</v>
      </c>
      <c r="J19" s="54"/>
    </row>
    <row r="20" spans="1:10" ht="12">
      <c r="A20" s="51"/>
      <c r="B20" s="51" t="s">
        <v>145</v>
      </c>
      <c r="C20" s="32"/>
      <c r="D20" s="31"/>
      <c r="E20" s="51"/>
      <c r="F20" s="52">
        <f>ProductionSequence!H29</f>
        <v>21.26886</v>
      </c>
      <c r="G20" s="52">
        <f>ProductionSequence!L29</f>
        <v>0</v>
      </c>
      <c r="H20" s="52">
        <f>ProductionSequence!O29</f>
        <v>19.08</v>
      </c>
      <c r="I20" s="52">
        <f>ProductionSequence!P29</f>
        <v>40.34886</v>
      </c>
      <c r="J20" s="54"/>
    </row>
    <row r="21" spans="1:10" ht="12">
      <c r="A21" s="51"/>
      <c r="B21" s="51" t="s">
        <v>200</v>
      </c>
      <c r="C21" s="32"/>
      <c r="D21" s="31"/>
      <c r="E21" s="51"/>
      <c r="F21" s="52">
        <f>ProductionSequence!H30</f>
        <v>18.742626666666666</v>
      </c>
      <c r="G21" s="52">
        <f>ProductionSequence!L30</f>
        <v>0</v>
      </c>
      <c r="H21" s="52">
        <f>ProductionSequence!O30</f>
        <v>12.719999999999999</v>
      </c>
      <c r="I21" s="52">
        <f>ProductionSequence!P30</f>
        <v>31.462626666666665</v>
      </c>
      <c r="J21" s="54"/>
    </row>
    <row r="22" spans="1:10" ht="12">
      <c r="A22" s="51"/>
      <c r="B22" s="51" t="s">
        <v>329</v>
      </c>
      <c r="C22" s="32"/>
      <c r="D22" s="31"/>
      <c r="E22" s="51"/>
      <c r="F22" s="52">
        <f>ProductionSequence!H31+ProductionSequence!H32</f>
        <v>0</v>
      </c>
      <c r="G22" s="52">
        <f>ProductionSequence!L31+ProductionSequence!L32</f>
        <v>0</v>
      </c>
      <c r="H22" s="52">
        <f>ProductionSequence!O31+ProductionSequence!O32</f>
        <v>147.6</v>
      </c>
      <c r="I22" s="52">
        <f>ProductionSequence!P31+ProductionSequence!P32</f>
        <v>147.6</v>
      </c>
      <c r="J22" s="54"/>
    </row>
    <row r="23" spans="1:10" ht="12">
      <c r="A23" s="51"/>
      <c r="B23" s="51" t="s">
        <v>330</v>
      </c>
      <c r="C23" s="32"/>
      <c r="D23" s="31"/>
      <c r="E23" s="51"/>
      <c r="F23" s="279">
        <f>ProductionSequence!H33+ProductionSequence!H34+ProductionSequence!H35+ProductionSequence!H36+ProductionSequence!H37+ProductionSequence!H38</f>
        <v>0</v>
      </c>
      <c r="G23" s="279">
        <f>ProductionSequence!L33+ProductionSequence!L34+ProductionSequence!L35+ProductionSequence!L36+ProductionSequence!L37+ProductionSequence!L38</f>
        <v>961.7150000000001</v>
      </c>
      <c r="H23" s="279">
        <f>ProductionSequence!O33+ProductionSequence!O34+ProductionSequence!O35+ProductionSequence!O36+ProductionSequence!O37+ProductionSequence!O38</f>
        <v>14</v>
      </c>
      <c r="I23" s="279">
        <f>ProductionSequence!P33+ProductionSequence!P34+ProductionSequence!P35+ProductionSequence!P36+ProductionSequence!P37+ProductionSequence!P38</f>
        <v>975.7150000000001</v>
      </c>
      <c r="J23" s="54"/>
    </row>
    <row r="24" spans="1:10" ht="12">
      <c r="A24" s="51"/>
      <c r="B24" s="51" t="s">
        <v>335</v>
      </c>
      <c r="C24" s="32"/>
      <c r="D24" s="31"/>
      <c r="E24" s="51"/>
      <c r="F24" s="52">
        <f>ProductionSequence!H39</f>
        <v>0</v>
      </c>
      <c r="G24" s="52">
        <f>ProductionSequence!L39</f>
        <v>0</v>
      </c>
      <c r="H24" s="52">
        <f>ProductionSequence!O39</f>
        <v>10.6</v>
      </c>
      <c r="I24" s="52">
        <f>ProductionSequence!P39</f>
        <v>10.6</v>
      </c>
      <c r="J24" s="54"/>
    </row>
    <row r="25" spans="1:10" ht="12">
      <c r="A25" s="51"/>
      <c r="B25" s="51" t="s">
        <v>336</v>
      </c>
      <c r="C25" s="32"/>
      <c r="D25" s="31"/>
      <c r="E25" s="51"/>
      <c r="F25" s="52">
        <f>ProductionSequence!H40</f>
        <v>0</v>
      </c>
      <c r="G25" s="52">
        <f>ProductionSequence!L40</f>
        <v>1365.525</v>
      </c>
      <c r="H25" s="52">
        <f>ProductionSequence!O40</f>
        <v>354.76875000000007</v>
      </c>
      <c r="I25" s="52">
        <f>ProductionSequence!P40</f>
        <v>1720.2937500000003</v>
      </c>
      <c r="J25" s="54"/>
    </row>
    <row r="26" spans="1:10" ht="12">
      <c r="A26" s="275" t="s">
        <v>236</v>
      </c>
      <c r="B26" s="276"/>
      <c r="C26" s="276"/>
      <c r="D26" s="276"/>
      <c r="E26" s="276"/>
      <c r="F26" s="277">
        <f>ProductionSequence!H41</f>
        <v>182.4691533333333</v>
      </c>
      <c r="G26" s="277">
        <f>ProductionSequence!L41</f>
        <v>2327.2400000000002</v>
      </c>
      <c r="H26" s="277">
        <f>ProductionSequence!O41</f>
        <v>660.5287500000001</v>
      </c>
      <c r="I26" s="277">
        <f>ProductionSequence!P41</f>
        <v>3170.2379033333336</v>
      </c>
      <c r="J26" s="54"/>
    </row>
    <row r="27" spans="1:10" ht="12">
      <c r="A27" s="51" t="s">
        <v>34</v>
      </c>
      <c r="B27" s="32" t="s">
        <v>2</v>
      </c>
      <c r="C27" s="32" t="s">
        <v>2</v>
      </c>
      <c r="D27" s="31"/>
      <c r="E27" s="51"/>
      <c r="F27" s="52" t="s">
        <v>2</v>
      </c>
      <c r="G27" s="52" t="s">
        <v>2</v>
      </c>
      <c r="H27" s="52" t="s">
        <v>2</v>
      </c>
      <c r="I27" s="52" t="s">
        <v>2</v>
      </c>
      <c r="J27" s="54"/>
    </row>
    <row r="28" spans="1:10" ht="12">
      <c r="A28" s="51"/>
      <c r="B28" s="51" t="s">
        <v>338</v>
      </c>
      <c r="C28" s="32"/>
      <c r="D28" s="31"/>
      <c r="E28" s="51"/>
      <c r="F28" s="52">
        <f>ProductionSequence!H43</f>
        <v>0.21426666666666666</v>
      </c>
      <c r="G28" s="52">
        <f>ProductionSequence!L43</f>
        <v>0.72</v>
      </c>
      <c r="H28" s="52">
        <f>ProductionSequence!O43</f>
        <v>254.39999999999998</v>
      </c>
      <c r="I28" s="52">
        <f>ProductionSequence!P43</f>
        <v>255.33426666666665</v>
      </c>
      <c r="J28" s="54"/>
    </row>
    <row r="29" spans="1:10" ht="12">
      <c r="A29" s="51"/>
      <c r="B29" s="51" t="s">
        <v>204</v>
      </c>
      <c r="C29" s="32"/>
      <c r="D29" s="31"/>
      <c r="E29" s="51"/>
      <c r="F29" s="52">
        <f>ProductionSequence!H44</f>
        <v>0.8529300000000001</v>
      </c>
      <c r="G29" s="52">
        <f>ProductionSequence!L44</f>
        <v>0</v>
      </c>
      <c r="H29" s="52">
        <f>ProductionSequence!O44</f>
        <v>127.19999999999999</v>
      </c>
      <c r="I29" s="52">
        <f>ProductionSequence!P44</f>
        <v>128.05292999999998</v>
      </c>
      <c r="J29" s="54"/>
    </row>
    <row r="30" spans="1:10" ht="12">
      <c r="A30" s="51"/>
      <c r="B30" s="51" t="s">
        <v>385</v>
      </c>
      <c r="C30" s="32"/>
      <c r="D30" s="31"/>
      <c r="E30" s="51"/>
      <c r="F30" s="52">
        <f>ProductionSequence!H45</f>
        <v>54.407379999999996</v>
      </c>
      <c r="G30" s="52">
        <f>ProductionSequence!L45</f>
        <v>0</v>
      </c>
      <c r="H30" s="52">
        <f>ProductionSequence!O45</f>
        <v>38.16</v>
      </c>
      <c r="I30" s="52">
        <f>ProductionSequence!P45</f>
        <v>92.56737999999999</v>
      </c>
      <c r="J30" s="54"/>
    </row>
    <row r="31" spans="1:10" ht="12">
      <c r="A31" s="51"/>
      <c r="B31" s="51" t="s">
        <v>382</v>
      </c>
      <c r="C31" s="32"/>
      <c r="D31" s="31"/>
      <c r="E31" s="51"/>
      <c r="F31" s="52">
        <f>ProductionSequence!H46+ProductionSequence!H47+ProductionSequence!H48</f>
        <v>95.05638</v>
      </c>
      <c r="G31" s="52">
        <f>ProductionSequence!L46+ProductionSequence!L47+ProductionSequence!L48</f>
        <v>645.12</v>
      </c>
      <c r="H31" s="52">
        <f>ProductionSequence!O46+ProductionSequence!O47+ProductionSequence!O48</f>
        <v>50.39999999999999</v>
      </c>
      <c r="I31" s="52">
        <f>ProductionSequence!P46+ProductionSequence!P47+ProductionSequence!P48</f>
        <v>790.57638</v>
      </c>
      <c r="J31" s="54"/>
    </row>
    <row r="32" spans="1:10" ht="12">
      <c r="A32" s="51"/>
      <c r="B32" s="51" t="s">
        <v>205</v>
      </c>
      <c r="C32" s="51"/>
      <c r="D32" s="51"/>
      <c r="E32" s="51"/>
      <c r="F32" s="52">
        <f>ProductionSequence!H49</f>
        <v>6.833375</v>
      </c>
      <c r="G32" s="52">
        <f>ProductionSequence!L49</f>
        <v>8</v>
      </c>
      <c r="H32" s="52">
        <f>ProductionSequence!O49</f>
        <v>9.54</v>
      </c>
      <c r="I32" s="52">
        <f>ProductionSequence!P49</f>
        <v>24.373375</v>
      </c>
      <c r="J32" s="54"/>
    </row>
    <row r="33" spans="1:10" ht="12">
      <c r="A33" s="285" t="s">
        <v>241</v>
      </c>
      <c r="B33" s="284"/>
      <c r="C33" s="284"/>
      <c r="D33" s="284"/>
      <c r="E33" s="284"/>
      <c r="F33" s="287">
        <f>ProductionSequence!H50</f>
        <v>339.833485</v>
      </c>
      <c r="G33" s="287">
        <f>ProductionSequence!L50</f>
        <v>2981.0800000000004</v>
      </c>
      <c r="H33" s="287">
        <f>ProductionSequence!O50</f>
        <v>1140.22875</v>
      </c>
      <c r="I33" s="287">
        <f>ProductionSequence!P50</f>
        <v>4461.142235</v>
      </c>
      <c r="J33" s="54"/>
    </row>
    <row r="34" spans="1:10" s="60" customFormat="1" ht="12">
      <c r="A34" s="286"/>
      <c r="B34" s="276"/>
      <c r="C34" s="276"/>
      <c r="D34" s="276"/>
      <c r="E34" s="276"/>
      <c r="F34" s="288" t="s">
        <v>2</v>
      </c>
      <c r="G34" s="288" t="s">
        <v>2</v>
      </c>
      <c r="H34" s="288" t="s">
        <v>2</v>
      </c>
      <c r="I34" s="288" t="s">
        <v>2</v>
      </c>
      <c r="J34" s="278"/>
    </row>
    <row r="35" spans="1:10" s="60" customFormat="1" ht="12">
      <c r="A35" s="286" t="s">
        <v>242</v>
      </c>
      <c r="B35" s="276"/>
      <c r="C35" s="276"/>
      <c r="D35" s="276"/>
      <c r="E35" s="276"/>
      <c r="F35" s="288"/>
      <c r="G35" s="288"/>
      <c r="H35" s="288"/>
      <c r="I35" s="288"/>
      <c r="J35" s="278"/>
    </row>
    <row r="36" spans="1:10" ht="12">
      <c r="A36" s="51" t="s">
        <v>2</v>
      </c>
      <c r="B36" s="51" t="s">
        <v>150</v>
      </c>
      <c r="C36" s="51"/>
      <c r="D36" s="51"/>
      <c r="E36" s="51"/>
      <c r="F36" s="52">
        <f>ProductionSequence!H53</f>
        <v>83.32776</v>
      </c>
      <c r="G36" s="52">
        <f>ProductionSequence!L53</f>
        <v>0</v>
      </c>
      <c r="H36" s="52">
        <f>ProductionSequence!O53</f>
        <v>318</v>
      </c>
      <c r="I36" s="52">
        <f>ProductionSequence!P53</f>
        <v>401.32776</v>
      </c>
      <c r="J36" s="51"/>
    </row>
    <row r="37" spans="1:10" ht="12">
      <c r="A37" s="51"/>
      <c r="B37" s="51" t="s">
        <v>207</v>
      </c>
      <c r="C37" s="51"/>
      <c r="D37" s="51"/>
      <c r="E37" s="51"/>
      <c r="F37" s="52">
        <f>ProductionSequence!H54</f>
        <v>241.35263999999998</v>
      </c>
      <c r="G37" s="52">
        <f>ProductionSequence!L54</f>
        <v>0</v>
      </c>
      <c r="H37" s="52">
        <f>ProductionSequence!O54</f>
        <v>114.47999999999999</v>
      </c>
      <c r="I37" s="52">
        <f>ProductionSequence!P54</f>
        <v>355.83263999999997</v>
      </c>
      <c r="J37" s="53"/>
    </row>
    <row r="38" spans="1:10" ht="12">
      <c r="A38" s="275" t="s">
        <v>237</v>
      </c>
      <c r="B38" s="276"/>
      <c r="C38" s="276"/>
      <c r="D38" s="276"/>
      <c r="E38" s="276"/>
      <c r="F38" s="277">
        <f>ProductionSequence!H55</f>
        <v>482.0447316666666</v>
      </c>
      <c r="G38" s="277">
        <f>ProductionSequence!L55</f>
        <v>653.8400000000001</v>
      </c>
      <c r="H38" s="277">
        <f>ProductionSequence!O55</f>
        <v>912.1800000000001</v>
      </c>
      <c r="I38" s="277">
        <f>ProductionSequence!P55</f>
        <v>2048.0647316666664</v>
      </c>
      <c r="J38" s="54"/>
    </row>
    <row r="39" spans="1:10" ht="12">
      <c r="A39" s="51" t="s">
        <v>16</v>
      </c>
      <c r="B39" s="51" t="s">
        <v>2</v>
      </c>
      <c r="C39" s="51"/>
      <c r="D39" s="51"/>
      <c r="E39" s="51"/>
      <c r="F39" s="52" t="s">
        <v>2</v>
      </c>
      <c r="G39" s="52" t="s">
        <v>2</v>
      </c>
      <c r="H39" s="52" t="s">
        <v>2</v>
      </c>
      <c r="I39" s="52" t="s">
        <v>2</v>
      </c>
      <c r="J39" s="54"/>
    </row>
    <row r="40" spans="1:10" ht="12">
      <c r="A40" s="51"/>
      <c r="B40" s="51" t="s">
        <v>152</v>
      </c>
      <c r="C40" s="51"/>
      <c r="D40" s="51"/>
      <c r="E40" s="51"/>
      <c r="F40" s="52">
        <f>ProductionSequence!H57</f>
        <v>0</v>
      </c>
      <c r="G40" s="52">
        <f>ProductionSequence!L57</f>
        <v>0</v>
      </c>
      <c r="H40" s="52">
        <f>ProductionSequence!O57</f>
        <v>15.899999999999999</v>
      </c>
      <c r="I40" s="52">
        <f>ProductionSequence!P57</f>
        <v>15.899999999999999</v>
      </c>
      <c r="J40" s="53"/>
    </row>
    <row r="41" spans="1:10" ht="12">
      <c r="A41" s="51"/>
      <c r="B41" s="51" t="s">
        <v>271</v>
      </c>
      <c r="C41" s="51"/>
      <c r="D41" s="51"/>
      <c r="E41" s="51"/>
      <c r="F41" s="52">
        <f>ProductionSequence!H58+ProductionSequence!H63</f>
        <v>28.825066666666668</v>
      </c>
      <c r="G41" s="52">
        <f>ProductionSequence!L58+ProductionSequence!L63</f>
        <v>0</v>
      </c>
      <c r="H41" s="52">
        <f>ProductionSequence!O58+ProductionSequence!O63</f>
        <v>5.6000000000000005</v>
      </c>
      <c r="I41" s="52">
        <f>ProductionSequence!P58+ProductionSequence!P63</f>
        <v>34.425066666666666</v>
      </c>
      <c r="J41" s="53"/>
    </row>
    <row r="42" spans="1:10" ht="12">
      <c r="A42" s="51"/>
      <c r="B42" s="51" t="s">
        <v>352</v>
      </c>
      <c r="C42" s="51"/>
      <c r="D42" s="51"/>
      <c r="E42" s="51"/>
      <c r="F42" s="52">
        <f>ProductionSequence!H59+ProductionSequence!H60</f>
        <v>15.2696</v>
      </c>
      <c r="G42" s="52">
        <f>ProductionSequence!L59+ProductionSequence!L60</f>
        <v>62.5</v>
      </c>
      <c r="H42" s="52">
        <f>ProductionSequence!O59+ProductionSequence!O60</f>
        <v>14</v>
      </c>
      <c r="I42" s="52">
        <f>ProductionSequence!P59+ProductionSequence!P60</f>
        <v>91.7696</v>
      </c>
      <c r="J42" s="54"/>
    </row>
    <row r="43" spans="1:10" ht="12">
      <c r="A43" s="51" t="s">
        <v>2</v>
      </c>
      <c r="B43" s="51" t="s">
        <v>349</v>
      </c>
      <c r="C43" s="51"/>
      <c r="D43" s="51"/>
      <c r="E43" s="51"/>
      <c r="F43" s="52">
        <f>ProductionSequence!H61+ProductionSequence!H62</f>
        <v>13.427414</v>
      </c>
      <c r="G43" s="52">
        <f>ProductionSequence!L61+ProductionSequence!L62</f>
        <v>79.8</v>
      </c>
      <c r="H43" s="52">
        <f>ProductionSequence!O61+ProductionSequence!O62</f>
        <v>8.268</v>
      </c>
      <c r="I43" s="52">
        <f>ProductionSequence!P61+ProductionSequence!P62</f>
        <v>101.495414</v>
      </c>
      <c r="J43" s="51"/>
    </row>
    <row r="44" spans="1:10" s="60" customFormat="1" ht="12">
      <c r="A44" s="275" t="s">
        <v>2</v>
      </c>
      <c r="B44" s="51" t="s">
        <v>155</v>
      </c>
      <c r="C44" s="276"/>
      <c r="D44" s="276"/>
      <c r="E44" s="276"/>
      <c r="F44" s="52">
        <f>ProductionSequence!H64</f>
        <v>0</v>
      </c>
      <c r="G44" s="52">
        <f>ProductionSequence!L64</f>
        <v>0</v>
      </c>
      <c r="H44" s="52">
        <f>ProductionSequence!O64</f>
        <v>21.2</v>
      </c>
      <c r="I44" s="52">
        <f>ProductionSequence!P64</f>
        <v>21.2</v>
      </c>
      <c r="J44" s="278"/>
    </row>
    <row r="45" spans="1:10" ht="12">
      <c r="A45" s="275" t="s">
        <v>272</v>
      </c>
      <c r="B45" s="276"/>
      <c r="C45" s="276"/>
      <c r="D45" s="276"/>
      <c r="E45" s="276"/>
      <c r="F45" s="277">
        <f>ProductionSequence!H65</f>
        <v>57.52208066666667</v>
      </c>
      <c r="G45" s="277">
        <f>ProductionSequence!L65</f>
        <v>142.3</v>
      </c>
      <c r="H45" s="277">
        <f>ProductionSequence!O65</f>
        <v>64.968</v>
      </c>
      <c r="I45" s="277">
        <f>ProductionSequence!P65</f>
        <v>264.79008066666665</v>
      </c>
      <c r="J45" s="54"/>
    </row>
    <row r="46" spans="1:10" ht="12">
      <c r="A46" s="51" t="s">
        <v>0</v>
      </c>
      <c r="B46" s="51"/>
      <c r="C46" s="51"/>
      <c r="D46" s="51"/>
      <c r="E46" s="51"/>
      <c r="J46" s="51"/>
    </row>
    <row r="47" spans="2:10" ht="12">
      <c r="B47" s="51" t="s">
        <v>267</v>
      </c>
      <c r="F47" s="52">
        <f>ProductionSequence!H67+ProductionSequence!H68+ProductionSequence!H69+ProductionSequence!H70</f>
        <v>13.427414</v>
      </c>
      <c r="G47" s="52">
        <f>ProductionSequence!L67+ProductionSequence!L68+ProductionSequence!L69+ProductionSequence!L70</f>
        <v>145.45</v>
      </c>
      <c r="H47" s="52">
        <f>ProductionSequence!O67+ProductionSequence!O68+ProductionSequence!O69+ProductionSequence!O70</f>
        <v>8.268</v>
      </c>
      <c r="I47" s="52">
        <f>ProductionSequence!P67+ProductionSequence!P68+ProductionSequence!P69+ProductionSequence!P70</f>
        <v>167.14541400000002</v>
      </c>
      <c r="J47" s="53"/>
    </row>
    <row r="48" spans="1:10" ht="12">
      <c r="A48" s="275" t="s">
        <v>273</v>
      </c>
      <c r="B48" s="276"/>
      <c r="C48" s="276"/>
      <c r="D48" s="276"/>
      <c r="E48" s="276"/>
      <c r="F48" s="277">
        <f>ProductionSequence!H71</f>
        <v>13.427414</v>
      </c>
      <c r="G48" s="277">
        <f>ProductionSequence!L71</f>
        <v>145.45</v>
      </c>
      <c r="H48" s="277">
        <f>ProductionSequence!O71</f>
        <v>8.268</v>
      </c>
      <c r="I48" s="277">
        <f>ProductionSequence!P71</f>
        <v>167.14541400000002</v>
      </c>
      <c r="J48" s="54"/>
    </row>
    <row r="49" spans="1:10" ht="12">
      <c r="A49" s="285" t="s">
        <v>276</v>
      </c>
      <c r="B49" s="284"/>
      <c r="C49" s="284"/>
      <c r="D49" s="284"/>
      <c r="E49" s="284"/>
      <c r="F49" s="287">
        <f>ProductionSequence!H72</f>
        <v>395.62989466666664</v>
      </c>
      <c r="G49" s="287">
        <f>ProductionSequence!L72</f>
        <v>287.75</v>
      </c>
      <c r="H49" s="287">
        <f>ProductionSequence!O72</f>
        <v>505.71600000000024</v>
      </c>
      <c r="I49" s="287">
        <f>ProductionSequence!P72</f>
        <v>1189.095894666666</v>
      </c>
      <c r="J49" s="54"/>
    </row>
    <row r="50" spans="1:10" ht="12">
      <c r="A50" s="275"/>
      <c r="B50" s="276"/>
      <c r="C50" s="276"/>
      <c r="D50" s="276"/>
      <c r="E50" s="276"/>
      <c r="F50" s="277"/>
      <c r="G50" s="277"/>
      <c r="H50" s="277"/>
      <c r="I50" s="277"/>
      <c r="J50" s="54"/>
    </row>
    <row r="51" spans="1:10" ht="12">
      <c r="A51" s="286" t="s">
        <v>277</v>
      </c>
      <c r="B51" s="276"/>
      <c r="C51" s="276"/>
      <c r="D51" s="276"/>
      <c r="E51" s="276"/>
      <c r="F51" s="277"/>
      <c r="G51" s="277"/>
      <c r="H51" s="277"/>
      <c r="I51" s="277"/>
      <c r="J51" s="53"/>
    </row>
    <row r="52" ht="12">
      <c r="A52" s="276" t="s">
        <v>1</v>
      </c>
    </row>
    <row r="53" spans="2:10" ht="12">
      <c r="B53" s="51" t="s">
        <v>162</v>
      </c>
      <c r="F53" s="52">
        <f>ProductionSequence!H76</f>
        <v>0</v>
      </c>
      <c r="G53" s="52">
        <f>ProductionSequence!L76</f>
        <v>0</v>
      </c>
      <c r="H53" s="52">
        <f>ProductionSequence!O76</f>
        <v>286.2</v>
      </c>
      <c r="I53" s="52">
        <f>ProductionSequence!P76</f>
        <v>286.2</v>
      </c>
      <c r="J53" s="54"/>
    </row>
    <row r="54" spans="2:10" ht="12">
      <c r="B54" s="51" t="s">
        <v>355</v>
      </c>
      <c r="F54" s="52">
        <f>ProductionSequence!H77+ProductionSequence!H78</f>
        <v>13.427414</v>
      </c>
      <c r="G54" s="52">
        <f>ProductionSequence!L77+ProductionSequence!L78</f>
        <v>25.200000000000003</v>
      </c>
      <c r="H54" s="52">
        <f>ProductionSequence!O77+ProductionSequence!O78</f>
        <v>8.268</v>
      </c>
      <c r="I54" s="52">
        <f>ProductionSequence!P77+ProductionSequence!P78</f>
        <v>46.895414</v>
      </c>
      <c r="J54" s="54"/>
    </row>
    <row r="55" spans="2:10" ht="12">
      <c r="B55" s="51" t="s">
        <v>157</v>
      </c>
      <c r="F55" s="52">
        <f>ProductionSequence!H79</f>
        <v>0</v>
      </c>
      <c r="G55" s="52">
        <f>ProductionSequence!L79</f>
        <v>1258.4</v>
      </c>
      <c r="H55" s="52">
        <f>ProductionSequence!O79</f>
        <v>42.4</v>
      </c>
      <c r="I55" s="52">
        <f>ProductionSequence!P79</f>
        <v>1300.8000000000002</v>
      </c>
      <c r="J55" s="54"/>
    </row>
    <row r="56" spans="2:10" ht="12">
      <c r="B56" s="51" t="s">
        <v>158</v>
      </c>
      <c r="F56" s="52">
        <f>ProductionSequence!H80</f>
        <v>0.8529300000000001</v>
      </c>
      <c r="G56" s="52">
        <f>ProductionSequence!L80</f>
        <v>50</v>
      </c>
      <c r="H56" s="52">
        <f>ProductionSequence!O80</f>
        <v>21.2</v>
      </c>
      <c r="I56" s="52">
        <f>ProductionSequence!P80</f>
        <v>72.05293</v>
      </c>
      <c r="J56" s="54"/>
    </row>
    <row r="57" spans="1:10" ht="12">
      <c r="A57" s="275" t="s">
        <v>274</v>
      </c>
      <c r="B57" s="276"/>
      <c r="C57" s="276"/>
      <c r="D57" s="276"/>
      <c r="E57" s="276"/>
      <c r="F57" s="277">
        <f>ProductionSequence!H81</f>
        <v>14.280344000000001</v>
      </c>
      <c r="G57" s="277">
        <f>ProductionSequence!L81</f>
        <v>1333.6000000000001</v>
      </c>
      <c r="H57" s="277">
        <f>ProductionSequence!O81</f>
        <v>358.0679999999999</v>
      </c>
      <c r="I57" s="277">
        <f>ProductionSequence!P81</f>
        <v>1705.9483440000001</v>
      </c>
      <c r="J57" s="54"/>
    </row>
    <row r="58" ht="12">
      <c r="A58" s="12" t="s">
        <v>28</v>
      </c>
    </row>
    <row r="59" spans="2:10" ht="12">
      <c r="B59" s="51" t="s">
        <v>161</v>
      </c>
      <c r="F59" s="52">
        <f>ProductionSequence!H83</f>
        <v>0</v>
      </c>
      <c r="G59" s="52">
        <f>ProductionSequence!L83</f>
        <v>0</v>
      </c>
      <c r="H59" s="52">
        <f>ProductionSequence!O83</f>
        <v>63.599999999999994</v>
      </c>
      <c r="I59" s="52">
        <f>ProductionSequence!P83</f>
        <v>63.599999999999994</v>
      </c>
      <c r="J59" s="54"/>
    </row>
    <row r="60" spans="2:10" ht="12">
      <c r="B60" s="51" t="s">
        <v>226</v>
      </c>
      <c r="F60" s="52">
        <f>ProductionSequence!H84</f>
        <v>0</v>
      </c>
      <c r="G60" s="52">
        <f>ProductionSequence!L84</f>
        <v>0</v>
      </c>
      <c r="H60" s="52">
        <f>ProductionSequence!O84</f>
        <v>466.4</v>
      </c>
      <c r="I60" s="52">
        <f>ProductionSequence!P84</f>
        <v>466.4</v>
      </c>
      <c r="J60" s="54"/>
    </row>
    <row r="61" spans="1:10" ht="12">
      <c r="A61" s="275" t="s">
        <v>275</v>
      </c>
      <c r="B61" s="276"/>
      <c r="C61" s="276"/>
      <c r="D61" s="276"/>
      <c r="E61" s="276"/>
      <c r="F61" s="277">
        <f>ProductionSequence!H85</f>
        <v>0</v>
      </c>
      <c r="G61" s="277">
        <f>ProductionSequence!L85</f>
        <v>0</v>
      </c>
      <c r="H61" s="277">
        <f>ProductionSequence!O85</f>
        <v>530</v>
      </c>
      <c r="I61" s="277">
        <f>ProductionSequence!P85</f>
        <v>530</v>
      </c>
      <c r="J61" s="54"/>
    </row>
    <row r="62" ht="12">
      <c r="A62" s="12" t="s">
        <v>27</v>
      </c>
    </row>
    <row r="63" spans="2:10" ht="12">
      <c r="B63" s="51" t="s">
        <v>166</v>
      </c>
      <c r="F63" s="52">
        <f>ProductionSequence!H87</f>
        <v>0</v>
      </c>
      <c r="G63" s="52">
        <f>ProductionSequence!L87</f>
        <v>0</v>
      </c>
      <c r="H63" s="52">
        <f>ProductionSequence!O87</f>
        <v>14</v>
      </c>
      <c r="I63" s="52">
        <f>ProductionSequence!P87</f>
        <v>14</v>
      </c>
      <c r="J63" s="54"/>
    </row>
    <row r="64" spans="2:10" ht="12">
      <c r="B64" s="119" t="s">
        <v>176</v>
      </c>
      <c r="F64" s="52">
        <f>ProductionSequence!H88</f>
        <v>0</v>
      </c>
      <c r="G64" s="52">
        <f>ProductionSequence!L88</f>
        <v>0</v>
      </c>
      <c r="H64" s="52">
        <f>ProductionSequence!O88</f>
        <v>63.599999999999994</v>
      </c>
      <c r="I64" s="52">
        <f>ProductionSequence!P88</f>
        <v>63.599999999999994</v>
      </c>
      <c r="J64" s="54"/>
    </row>
    <row r="65" spans="1:10" ht="12">
      <c r="A65" s="285" t="s">
        <v>278</v>
      </c>
      <c r="B65" s="284"/>
      <c r="C65" s="284"/>
      <c r="D65" s="284"/>
      <c r="E65" s="284"/>
      <c r="F65" s="287">
        <f>ProductionSequence!H89</f>
        <v>14.280344000000001</v>
      </c>
      <c r="G65" s="287">
        <f>ProductionSequence!L89</f>
        <v>1333.6000000000001</v>
      </c>
      <c r="H65" s="287">
        <f>ProductionSequence!O89</f>
        <v>965.6679999999999</v>
      </c>
      <c r="I65" s="287">
        <f>ProductionSequence!P89</f>
        <v>2313.5483440000007</v>
      </c>
      <c r="J65" s="54"/>
    </row>
    <row r="66" ht="12">
      <c r="J66" s="47"/>
    </row>
    <row r="67" ht="12">
      <c r="A67" s="286" t="s">
        <v>279</v>
      </c>
    </row>
    <row r="68" spans="2:10" ht="12">
      <c r="B68" s="51" t="s">
        <v>168</v>
      </c>
      <c r="C68" s="51"/>
      <c r="F68" s="52">
        <f>ProductionSequence!H92</f>
        <v>0</v>
      </c>
      <c r="G68" s="52">
        <f>ProductionSequence!L92</f>
        <v>0</v>
      </c>
      <c r="H68" s="52">
        <f>ProductionSequence!O92</f>
        <v>159</v>
      </c>
      <c r="I68" s="52">
        <f>ProductionSequence!P92</f>
        <v>159</v>
      </c>
      <c r="J68" s="54"/>
    </row>
    <row r="69" spans="2:10" ht="12">
      <c r="B69" s="51" t="s">
        <v>212</v>
      </c>
      <c r="C69" s="51"/>
      <c r="F69" s="52">
        <f>ProductionSequence!H93+ProductionSequence!H94+ProductionSequence!H95</f>
        <v>13.427414</v>
      </c>
      <c r="G69" s="52">
        <f>ProductionSequence!L93+ProductionSequence!L94+ProductionSequence!L95</f>
        <v>29.9</v>
      </c>
      <c r="H69" s="52">
        <f>ProductionSequence!O93+ProductionSequence!O94+ProductionSequence!O95</f>
        <v>8.268</v>
      </c>
      <c r="I69" s="52">
        <f>ProductionSequence!P93+ProductionSequence!P94+ProductionSequence!P95</f>
        <v>51.595414</v>
      </c>
      <c r="J69" s="54"/>
    </row>
    <row r="70" spans="2:10" ht="12">
      <c r="B70" s="51" t="s">
        <v>166</v>
      </c>
      <c r="C70" s="51"/>
      <c r="F70" s="52">
        <f>ProductionSequence!H96</f>
        <v>0</v>
      </c>
      <c r="G70" s="52">
        <f>ProductionSequence!L96</f>
        <v>0</v>
      </c>
      <c r="H70" s="52">
        <f>ProductionSequence!O96</f>
        <v>14</v>
      </c>
      <c r="I70" s="52">
        <f>ProductionSequence!P96</f>
        <v>14</v>
      </c>
      <c r="J70" s="54"/>
    </row>
    <row r="71" spans="2:10" ht="12">
      <c r="B71" s="51" t="s">
        <v>229</v>
      </c>
      <c r="C71" s="51"/>
      <c r="F71" s="52">
        <f>ProductionSequence!H97</f>
        <v>0</v>
      </c>
      <c r="G71" s="52">
        <f>ProductionSequence!L97</f>
        <v>0</v>
      </c>
      <c r="H71" s="52">
        <f>ProductionSequence!O97</f>
        <v>63.599999999999994</v>
      </c>
      <c r="I71" s="52">
        <f>ProductionSequence!P97</f>
        <v>63.599999999999994</v>
      </c>
      <c r="J71" s="54"/>
    </row>
    <row r="72" spans="2:10" ht="12">
      <c r="B72" s="51" t="s">
        <v>389</v>
      </c>
      <c r="C72" s="51"/>
      <c r="F72" s="52">
        <f>ProductionSequence!H98+ProductionSequence!H99+ProductionSequence!H100+ProductionSequence!H101+ProductionSequence!H102</f>
        <v>13.427414</v>
      </c>
      <c r="G72" s="52">
        <f>ProductionSequence!L98+ProductionSequence!L99+ProductionSequence!L100+ProductionSequence!L101+ProductionSequence!L102</f>
        <v>308.69</v>
      </c>
      <c r="H72" s="52">
        <f>ProductionSequence!O98+ProductionSequence!O99+ProductionSequence!O100+ProductionSequence!O101+ProductionSequence!O102</f>
        <v>8.268</v>
      </c>
      <c r="I72" s="52">
        <f>ProductionSequence!P98+ProductionSequence!P99+ProductionSequence!P100+ProductionSequence!P101+ProductionSequence!P102</f>
        <v>330.38541399999997</v>
      </c>
      <c r="J72" s="54"/>
    </row>
    <row r="73" spans="2:10" ht="12">
      <c r="B73" s="51" t="s">
        <v>169</v>
      </c>
      <c r="C73" s="51"/>
      <c r="F73" s="52">
        <f>ProductionSequence!H103</f>
        <v>0</v>
      </c>
      <c r="G73" s="52">
        <f>ProductionSequence!L103</f>
        <v>0</v>
      </c>
      <c r="H73" s="52">
        <f>ProductionSequence!O103</f>
        <v>63.599999999999994</v>
      </c>
      <c r="I73" s="52">
        <f>ProductionSequence!P103</f>
        <v>63.599999999999994</v>
      </c>
      <c r="J73" s="54"/>
    </row>
    <row r="74" spans="2:10" ht="12">
      <c r="B74" s="51" t="s">
        <v>352</v>
      </c>
      <c r="C74" s="51"/>
      <c r="F74" s="52">
        <f>ProductionSequence!H104+ProductionSequence!H105</f>
        <v>15.2696</v>
      </c>
      <c r="G74" s="52">
        <f>ProductionSequence!L104+ProductionSequence!L105</f>
        <v>62.5</v>
      </c>
      <c r="H74" s="52">
        <f>ProductionSequence!O104+ProductionSequence!O105</f>
        <v>14</v>
      </c>
      <c r="I74" s="52">
        <f>ProductionSequence!P104+ProductionSequence!P105</f>
        <v>91.7696</v>
      </c>
      <c r="J74" s="54"/>
    </row>
    <row r="75" spans="2:10" ht="12">
      <c r="B75" s="51" t="s">
        <v>170</v>
      </c>
      <c r="C75" s="51"/>
      <c r="F75" s="52">
        <f>ProductionSequence!H106</f>
        <v>0</v>
      </c>
      <c r="G75" s="52">
        <f>ProductionSequence!L106</f>
        <v>0</v>
      </c>
      <c r="H75" s="52">
        <f>ProductionSequence!O106</f>
        <v>7</v>
      </c>
      <c r="I75" s="52">
        <f>ProductionSequence!P106</f>
        <v>7</v>
      </c>
      <c r="J75" s="54"/>
    </row>
    <row r="76" spans="2:10" ht="12">
      <c r="B76" s="51" t="s">
        <v>171</v>
      </c>
      <c r="C76" s="51"/>
      <c r="F76" s="52">
        <f>ProductionSequence!H107</f>
        <v>0</v>
      </c>
      <c r="G76" s="52">
        <f>ProductionSequence!L107</f>
        <v>0</v>
      </c>
      <c r="H76" s="52">
        <f>ProductionSequence!O107</f>
        <v>14</v>
      </c>
      <c r="I76" s="52">
        <f>ProductionSequence!P107</f>
        <v>14</v>
      </c>
      <c r="J76" s="54"/>
    </row>
    <row r="77" spans="1:10" ht="12">
      <c r="A77" s="275" t="s">
        <v>280</v>
      </c>
      <c r="B77" s="276"/>
      <c r="C77" s="276"/>
      <c r="D77" s="276"/>
      <c r="E77" s="276"/>
      <c r="F77" s="277">
        <f>ProductionSequence!H108</f>
        <v>42.124428</v>
      </c>
      <c r="G77" s="277">
        <f>ProductionSequence!L108</f>
        <v>401.09000000000003</v>
      </c>
      <c r="H77" s="277">
        <f>ProductionSequence!O108</f>
        <v>429.336</v>
      </c>
      <c r="I77" s="277">
        <f>ProductionSequence!P108</f>
        <v>872.5504280000001</v>
      </c>
      <c r="J77" s="54"/>
    </row>
    <row r="78" ht="12">
      <c r="A78" s="12" t="s">
        <v>29</v>
      </c>
    </row>
    <row r="79" spans="2:10" ht="12">
      <c r="B79" s="51" t="s">
        <v>281</v>
      </c>
      <c r="F79" s="52">
        <f>ProductionSequence!H110+ProductionSequence!H127</f>
        <v>0</v>
      </c>
      <c r="G79" s="52">
        <f>ProductionSequence!L110+ProductionSequence!L127</f>
        <v>14</v>
      </c>
      <c r="H79" s="52">
        <f>ProductionSequence!O110+ProductionSequence!O127</f>
        <v>10.6</v>
      </c>
      <c r="I79" s="52">
        <f>ProductionSequence!P110+ProductionSequence!P127</f>
        <v>24.6</v>
      </c>
      <c r="J79" s="54"/>
    </row>
    <row r="80" spans="2:10" ht="12">
      <c r="B80" s="51" t="s">
        <v>173</v>
      </c>
      <c r="F80" s="52">
        <f>ProductionSequence!H111</f>
        <v>0</v>
      </c>
      <c r="G80" s="52">
        <f>ProductionSequence!L111</f>
        <v>0</v>
      </c>
      <c r="H80" s="52">
        <f>ProductionSequence!O111</f>
        <v>106</v>
      </c>
      <c r="I80" s="52">
        <f>ProductionSequence!P111</f>
        <v>106</v>
      </c>
      <c r="J80" s="54"/>
    </row>
    <row r="81" spans="2:10" ht="12">
      <c r="B81" s="51" t="s">
        <v>291</v>
      </c>
      <c r="F81" s="52">
        <f>ProductionSequence!H112+ProductionSequence!H113+ProductionSequence!H114+ProductionSequence!H115+ProductionSequence!H124+ProductionSequence!H125+ProductionSequence!H126+ProductionSequence!H133+ProductionSequence!H134+ProductionSequence!H135+ProductionSequence!H141+ProductionSequence!H142+ProductionSequence!H143</f>
        <v>61.0784</v>
      </c>
      <c r="G81" s="52">
        <f>ProductionSequence!L112+ProductionSequence!L113+ProductionSequence!L114+ProductionSequence!L115+ProductionSequence!L124+ProductionSequence!L125+ProductionSequence!L126+ProductionSequence!L133+ProductionSequence!L134+ProductionSequence!L135+ProductionSequence!L141+ProductionSequence!L142+ProductionSequence!L143</f>
        <v>70.8644</v>
      </c>
      <c r="H81" s="52">
        <f>ProductionSequence!O112+ProductionSequence!O113+ProductionSequence!O114+ProductionSequence!O115+ProductionSequence!O124+ProductionSequence!O125+ProductionSequence!O126+ProductionSequence!O133+ProductionSequence!O134+ProductionSequence!O135+ProductionSequence!O141+ProductionSequence!O142+ProductionSequence!O143</f>
        <v>56</v>
      </c>
      <c r="I81" s="52">
        <f>ProductionSequence!P112+ProductionSequence!P113+ProductionSequence!P114+ProductionSequence!P115+ProductionSequence!P124+ProductionSequence!P125+ProductionSequence!P126+ProductionSequence!P133+ProductionSequence!P134+ProductionSequence!P135+ProductionSequence!P141+ProductionSequence!P142+ProductionSequence!P143</f>
        <v>187.94279999999998</v>
      </c>
      <c r="J81" s="54"/>
    </row>
    <row r="82" spans="2:10" ht="12">
      <c r="B82" s="51" t="s">
        <v>282</v>
      </c>
      <c r="F82" s="52">
        <f>ProductionSequence!H116+ProductionSequence!H129</f>
        <v>0</v>
      </c>
      <c r="G82" s="52">
        <f>ProductionSequence!L116+ProductionSequence!L129</f>
        <v>0</v>
      </c>
      <c r="H82" s="52">
        <f>ProductionSequence!O116+ProductionSequence!O129</f>
        <v>127.19999999999999</v>
      </c>
      <c r="I82" s="52">
        <f>ProductionSequence!P116+ProductionSequence!P129</f>
        <v>127.19999999999999</v>
      </c>
      <c r="J82" s="54"/>
    </row>
    <row r="83" spans="2:10" ht="12">
      <c r="B83" s="51" t="s">
        <v>283</v>
      </c>
      <c r="F83" s="52">
        <f>ProductionSequence!H117+ProductionSequence!H130</f>
        <v>0</v>
      </c>
      <c r="G83" s="52">
        <f>ProductionSequence!L117+ProductionSequence!L130</f>
        <v>0</v>
      </c>
      <c r="H83" s="52">
        <f>ProductionSequence!O117+ProductionSequence!O130</f>
        <v>127.19999999999999</v>
      </c>
      <c r="I83" s="52">
        <f>ProductionSequence!P117+ProductionSequence!P130</f>
        <v>127.19999999999999</v>
      </c>
      <c r="J83" s="54"/>
    </row>
    <row r="84" spans="2:10" ht="12">
      <c r="B84" s="276" t="s">
        <v>284</v>
      </c>
      <c r="F84" s="52">
        <f>ProductionSequence!H118+ProductionSequence!H136</f>
        <v>0</v>
      </c>
      <c r="G84" s="52">
        <f>ProductionSequence!L118+ProductionSequence!L136</f>
        <v>0</v>
      </c>
      <c r="H84" s="52">
        <f>ProductionSequence!O118+ProductionSequence!O136</f>
        <v>28</v>
      </c>
      <c r="I84" s="52">
        <f>ProductionSequence!P118+ProductionSequence!P136</f>
        <v>28</v>
      </c>
      <c r="J84" s="54"/>
    </row>
    <row r="85" spans="2:10" ht="12">
      <c r="B85" s="51" t="s">
        <v>376</v>
      </c>
      <c r="F85" s="52">
        <f>ProductionSequence!H119+ProductionSequence!H120+ProductionSequence!H121+ProductionSequence!H122+ProductionSequence!H132+ProductionSequence!H137+ProductionSequence!H138+ProductionSequence!H139+ProductionSequence!H140</f>
        <v>40.282242000000004</v>
      </c>
      <c r="G85" s="52">
        <f>ProductionSequence!L119+ProductionSequence!L120+ProductionSequence!L121+ProductionSequence!L122+ProductionSequence!L132+ProductionSequence!L137+ProductionSequence!L138+ProductionSequence!L139+ProductionSequence!L140</f>
        <v>373.79999999999995</v>
      </c>
      <c r="H85" s="52">
        <f>ProductionSequence!O119+ProductionSequence!O120+ProductionSequence!O121+ProductionSequence!O122+ProductionSequence!O132+ProductionSequence!O137+ProductionSequence!O138+ProductionSequence!O139+ProductionSequence!O140</f>
        <v>24.804000000000002</v>
      </c>
      <c r="I85" s="52">
        <f>ProductionSequence!P119+ProductionSequence!P120+ProductionSequence!P121+ProductionSequence!P122+ProductionSequence!P132+ProductionSequence!P137+ProductionSequence!P138+ProductionSequence!P139+ProductionSequence!P140</f>
        <v>438.8862419999999</v>
      </c>
      <c r="J85" s="54"/>
    </row>
    <row r="86" spans="2:10" ht="12">
      <c r="B86" s="51" t="s">
        <v>286</v>
      </c>
      <c r="F86" s="52">
        <f>ProductionSequence!H123+ProductionSequence!H128</f>
        <v>258.58</v>
      </c>
      <c r="G86" s="52">
        <f>ProductionSequence!L123+ProductionSequence!L128</f>
        <v>0</v>
      </c>
      <c r="H86" s="52">
        <f>ProductionSequence!O123+ProductionSequence!O128</f>
        <v>140</v>
      </c>
      <c r="I86" s="52">
        <f>ProductionSequence!P123+ProductionSequence!P128</f>
        <v>398.58</v>
      </c>
      <c r="J86" s="54"/>
    </row>
    <row r="87" spans="2:10" ht="12">
      <c r="B87" s="51" t="s">
        <v>215</v>
      </c>
      <c r="F87" s="52">
        <f>ProductionSequence!H131</f>
        <v>0</v>
      </c>
      <c r="G87" s="52">
        <f>ProductionSequence!L131</f>
        <v>35</v>
      </c>
      <c r="H87" s="52">
        <f>ProductionSequence!O131</f>
        <v>0</v>
      </c>
      <c r="I87" s="52">
        <f>ProductionSequence!P131</f>
        <v>35</v>
      </c>
      <c r="J87" s="54"/>
    </row>
    <row r="88" spans="1:10" ht="12">
      <c r="A88" s="275" t="s">
        <v>287</v>
      </c>
      <c r="B88" s="276"/>
      <c r="C88" s="276"/>
      <c r="D88" s="276"/>
      <c r="E88" s="276"/>
      <c r="F88" s="277">
        <f>ProductionSequence!H144</f>
        <v>359.940642</v>
      </c>
      <c r="G88" s="277">
        <f>ProductionSequence!L144</f>
        <v>493.6643999999999</v>
      </c>
      <c r="H88" s="277">
        <f>ProductionSequence!O144</f>
        <v>619.8040000000001</v>
      </c>
      <c r="I88" s="277">
        <f>ProductionSequence!P144</f>
        <v>1473.4090420000005</v>
      </c>
      <c r="J88" s="54"/>
    </row>
    <row r="89" spans="1:2" ht="12">
      <c r="A89" s="12" t="s">
        <v>25</v>
      </c>
      <c r="B89" s="51"/>
    </row>
    <row r="90" spans="2:10" ht="12">
      <c r="B90" s="51" t="s">
        <v>286</v>
      </c>
      <c r="F90" s="52">
        <f>ProductionSequence!H146+ProductionSequence!H152</f>
        <v>181.00599999999997</v>
      </c>
      <c r="G90" s="52">
        <f>ProductionSequence!L146+ProductionSequence!L152</f>
        <v>0</v>
      </c>
      <c r="H90" s="52">
        <f>ProductionSequence!O146+ProductionSequence!O152</f>
        <v>98</v>
      </c>
      <c r="I90" s="52">
        <f>ProductionSequence!P146+ProductionSequence!P152</f>
        <v>279.006</v>
      </c>
      <c r="J90" s="54"/>
    </row>
    <row r="91" spans="2:10" ht="12">
      <c r="B91" s="51" t="s">
        <v>292</v>
      </c>
      <c r="F91" s="52">
        <f>ProductionSequence!H148+ProductionSequence!H149+ProductionSequence!H150+ProductionSequence!H157+ProductionSequence!H158+ProductionSequence!H159+ProductionSequence!H160+ProductionSequence!H161</f>
        <v>45.808800000000005</v>
      </c>
      <c r="G91" s="52">
        <f>ProductionSequence!L148+ProductionSequence!L149+ProductionSequence!L150+ProductionSequence!L157+ProductionSequence!L158+ProductionSequence!L159+ProductionSequence!L160+ProductionSequence!L161</f>
        <v>82.2388</v>
      </c>
      <c r="H91" s="52">
        <f>ProductionSequence!O148+ProductionSequence!O149+ProductionSequence!O150+ProductionSequence!O157+ProductionSequence!O158+ProductionSequence!O159+ProductionSequence!O160+ProductionSequence!O161</f>
        <v>42</v>
      </c>
      <c r="I91" s="52">
        <f>ProductionSequence!P148+ProductionSequence!P149+ProductionSequence!P150+ProductionSequence!P157+ProductionSequence!P158+ProductionSequence!P159+ProductionSequence!P160+ProductionSequence!P161</f>
        <v>170.0476</v>
      </c>
      <c r="J91" s="54"/>
    </row>
    <row r="92" spans="2:10" ht="12">
      <c r="B92" s="51" t="s">
        <v>153</v>
      </c>
      <c r="F92" s="52">
        <f>ProductionSequence!H151</f>
        <v>0</v>
      </c>
      <c r="G92" s="52">
        <f>ProductionSequence!L151</f>
        <v>7</v>
      </c>
      <c r="H92" s="52">
        <f>ProductionSequence!O151</f>
        <v>5.3</v>
      </c>
      <c r="I92" s="52">
        <f>ProductionSequence!P151</f>
        <v>12.3</v>
      </c>
      <c r="J92" s="54"/>
    </row>
    <row r="93" spans="2:10" ht="12">
      <c r="B93" s="51" t="s">
        <v>285</v>
      </c>
      <c r="F93" s="52">
        <f>ProductionSequence!H153+ProductionSequence!H154+ProductionSequence!H155+ProductionSequence!H156+ProductionSequence!H147</f>
        <v>26.854828</v>
      </c>
      <c r="G93" s="52">
        <f>ProductionSequence!L153+ProductionSequence!L154+ProductionSequence!L155+ProductionSequence!L156+ProductionSequence!H147</f>
        <v>164.02741400000002</v>
      </c>
      <c r="H93" s="52">
        <f>ProductionSequence!O153+ProductionSequence!O154+ProductionSequence!O155+ProductionSequence!O156+ProductionSequence!H147</f>
        <v>21.695414</v>
      </c>
      <c r="I93" s="52">
        <f>ProductionSequence!P153+ProductionSequence!P154+ProductionSequence!P155+ProductionSequence!P156+ProductionSequence!H147</f>
        <v>185.722828</v>
      </c>
      <c r="J93" s="54"/>
    </row>
    <row r="94" spans="1:10" ht="12">
      <c r="A94" s="285" t="s">
        <v>289</v>
      </c>
      <c r="B94" s="284"/>
      <c r="C94" s="284"/>
      <c r="D94" s="284"/>
      <c r="E94" s="284"/>
      <c r="F94" s="287">
        <f>ProductionSequence!H162</f>
        <v>655.7346980000003</v>
      </c>
      <c r="G94" s="287">
        <f>ProductionSequence!L162</f>
        <v>1159.7932000000003</v>
      </c>
      <c r="H94" s="287">
        <f>ProductionSequence!O162</f>
        <v>1133.376</v>
      </c>
      <c r="I94" s="287">
        <f>ProductionSequence!P162</f>
        <v>2948.9038979999978</v>
      </c>
      <c r="J94" s="54"/>
    </row>
    <row r="95" ht="12">
      <c r="J95" s="47"/>
    </row>
    <row r="96" ht="12">
      <c r="A96" s="286" t="s">
        <v>290</v>
      </c>
    </row>
    <row r="97" spans="2:10" ht="12">
      <c r="B97" s="51" t="s">
        <v>220</v>
      </c>
      <c r="F97" s="52">
        <f>ProductionSequence!H165+ProductionSequence!H168</f>
        <v>0</v>
      </c>
      <c r="G97" s="52">
        <f>ProductionSequence!L165+ProductionSequence!L168</f>
        <v>0</v>
      </c>
      <c r="H97" s="52">
        <f>ProductionSequence!O165+ProductionSequence!O168</f>
        <v>148.39999999999998</v>
      </c>
      <c r="I97" s="52">
        <f>ProductionSequence!P165+ProductionSequence!P168</f>
        <v>148.39999999999998</v>
      </c>
      <c r="J97" s="54"/>
    </row>
    <row r="98" spans="2:10" ht="12">
      <c r="B98" s="51" t="s">
        <v>221</v>
      </c>
      <c r="F98" s="52">
        <f>ProductionSequence!H166+ProductionSequence!H169</f>
        <v>0</v>
      </c>
      <c r="G98" s="52">
        <f>ProductionSequence!L166+ProductionSequence!L169</f>
        <v>478.125</v>
      </c>
      <c r="H98" s="52">
        <f>ProductionSequence!O166+ProductionSequence!O169</f>
        <v>148.39999999999998</v>
      </c>
      <c r="I98" s="52">
        <f>ProductionSequence!P166+ProductionSequence!P169</f>
        <v>626.525</v>
      </c>
      <c r="J98" s="54"/>
    </row>
    <row r="99" spans="2:10" ht="12">
      <c r="B99" s="51" t="s">
        <v>181</v>
      </c>
      <c r="F99" s="52">
        <f>ProductionSequence!H167+ProductionSequence!H170</f>
        <v>0</v>
      </c>
      <c r="G99" s="52">
        <f>ProductionSequence!L167+ProductionSequence!L170</f>
        <v>0</v>
      </c>
      <c r="H99" s="52">
        <f>ProductionSequence!O167+ProductionSequence!O170</f>
        <v>439.87499999999994</v>
      </c>
      <c r="I99" s="52">
        <f>ProductionSequence!P167+ProductionSequence!P170</f>
        <v>439.87499999999994</v>
      </c>
      <c r="J99" s="54"/>
    </row>
    <row r="100" spans="2:10" ht="12">
      <c r="B100" s="51" t="s">
        <v>293</v>
      </c>
      <c r="F100" s="52">
        <f>ProductionSequence!H171</f>
        <v>14.412533333333334</v>
      </c>
      <c r="G100" s="52">
        <f>ProductionSequence!L171</f>
        <v>0</v>
      </c>
      <c r="H100" s="52">
        <f>ProductionSequence!O171</f>
        <v>2.8000000000000003</v>
      </c>
      <c r="I100" s="52">
        <f>ProductionSequence!P171</f>
        <v>17.212533333333333</v>
      </c>
      <c r="J100" s="54"/>
    </row>
    <row r="101" spans="2:10" ht="12">
      <c r="B101" s="51" t="s">
        <v>288</v>
      </c>
      <c r="F101" s="52">
        <f>ProductionSequence!H172+ProductionSequence!H173+ProductionSequence!H174</f>
        <v>13.427414</v>
      </c>
      <c r="G101" s="52">
        <f>ProductionSequence!L172+ProductionSequence!L173+ProductionSequence!L174</f>
        <v>105.80000000000001</v>
      </c>
      <c r="H101" s="52">
        <f>ProductionSequence!O172+ProductionSequence!O173+ProductionSequence!O174</f>
        <v>8.268</v>
      </c>
      <c r="I101" s="52">
        <f>ProductionSequence!P172+ProductionSequence!P173+ProductionSequence!P174</f>
        <v>127.49541400000001</v>
      </c>
      <c r="J101" s="54"/>
    </row>
    <row r="102" spans="2:10" ht="12">
      <c r="B102" s="51" t="s">
        <v>294</v>
      </c>
      <c r="F102" s="52">
        <f>ProductionSequence!H175+ProductionSequence!H176+ProductionSequence!H177</f>
        <v>15.2696</v>
      </c>
      <c r="G102" s="52">
        <f>ProductionSequence!L175+ProductionSequence!L176+ProductionSequence!L177</f>
        <v>17.4254</v>
      </c>
      <c r="H102" s="52">
        <f>ProductionSequence!O175+ProductionSequence!O176+ProductionSequence!O177</f>
        <v>14</v>
      </c>
      <c r="I102" s="52">
        <f>ProductionSequence!P175+ProductionSequence!P176+ProductionSequence!P177</f>
        <v>46.695</v>
      </c>
      <c r="J102" s="54"/>
    </row>
    <row r="103" spans="1:10" ht="12">
      <c r="A103" s="275" t="s">
        <v>295</v>
      </c>
      <c r="B103" s="276"/>
      <c r="C103" s="276"/>
      <c r="D103" s="276"/>
      <c r="E103" s="276"/>
      <c r="F103" s="277">
        <f>ProductionSequence!H178</f>
        <v>296.77917533333334</v>
      </c>
      <c r="G103" s="277">
        <f>ProductionSequence!L178</f>
        <v>866.3892000000001</v>
      </c>
      <c r="H103" s="277">
        <f>ProductionSequence!O178</f>
        <v>923.579</v>
      </c>
      <c r="I103" s="277">
        <f>ProductionSequence!P178</f>
        <v>2086.7473753333334</v>
      </c>
      <c r="J103" s="54"/>
    </row>
    <row r="104" spans="1:10" ht="12">
      <c r="A104" s="12" t="s">
        <v>17</v>
      </c>
      <c r="B104" s="51"/>
      <c r="J104" s="47"/>
    </row>
    <row r="105" spans="2:10" ht="12">
      <c r="B105" s="51" t="s">
        <v>153</v>
      </c>
      <c r="F105" s="52">
        <f>ProductionSequence!H180</f>
        <v>0</v>
      </c>
      <c r="G105" s="52">
        <f>ProductionSequence!L180</f>
        <v>7</v>
      </c>
      <c r="H105" s="52">
        <f>ProductionSequence!O180</f>
        <v>5.3</v>
      </c>
      <c r="I105" s="52">
        <f>ProductionSequence!P180</f>
        <v>12.3</v>
      </c>
      <c r="J105" s="53"/>
    </row>
    <row r="106" spans="2:10" ht="12">
      <c r="B106" s="51" t="s">
        <v>296</v>
      </c>
      <c r="F106" s="52">
        <f>ProductionSequence!H181+ProductionSequence!H182+ProductionSequence!H190+ProductionSequence!H191</f>
        <v>30.5392</v>
      </c>
      <c r="G106" s="52">
        <f>ProductionSequence!L181+ProductionSequence!L182+ProductionSequence!L190+ProductionSequence!L191</f>
        <v>61.6134</v>
      </c>
      <c r="H106" s="52">
        <f>ProductionSequence!O181+ProductionSequence!O182+ProductionSequence!O190+ProductionSequence!O191</f>
        <v>28</v>
      </c>
      <c r="I106" s="52">
        <f>ProductionSequence!P181+ProductionSequence!P182+ProductionSequence!P190+ProductionSequence!P191</f>
        <v>120.15259999999999</v>
      </c>
      <c r="J106" s="53"/>
    </row>
    <row r="107" spans="2:10" ht="12">
      <c r="B107" s="51" t="s">
        <v>297</v>
      </c>
      <c r="F107" s="52">
        <f>ProductionSequence!H183+ProductionSequence!H192+ProductionSequence!H196+ProductionSequence!H202</f>
        <v>86.4752</v>
      </c>
      <c r="G107" s="52">
        <f>ProductionSequence!L183+ProductionSequence!L192+ProductionSequence!L196+ProductionSequence!L202</f>
        <v>0</v>
      </c>
      <c r="H107" s="52">
        <f>ProductionSequence!O183+ProductionSequence!O192+ProductionSequence!O196+ProductionSequence!O202</f>
        <v>16.8</v>
      </c>
      <c r="I107" s="52">
        <f>ProductionSequence!P183+ProductionSequence!P192+ProductionSequence!P196+ProductionSequence!P202</f>
        <v>103.2752</v>
      </c>
      <c r="J107" s="53"/>
    </row>
    <row r="108" spans="2:10" ht="12">
      <c r="B108" s="51" t="s">
        <v>285</v>
      </c>
      <c r="F108" s="52">
        <f>ProductionSequence!H184+ProductionSequence!H185+ProductionSequence!H186+ProductionSequence!H200+ProductionSequence!H201</f>
        <v>26.854828</v>
      </c>
      <c r="G108" s="52">
        <f>ProductionSequence!L184+ProductionSequence!L185+ProductionSequence!L186+ProductionSequence!L200+ProductionSequence!L201</f>
        <v>206.5</v>
      </c>
      <c r="H108" s="52">
        <f>ProductionSequence!O184+ProductionSequence!O185+ProductionSequence!O186+ProductionSequence!O200+ProductionSequence!O201</f>
        <v>16.536</v>
      </c>
      <c r="I108" s="52">
        <f>ProductionSequence!P184+ProductionSequence!P185+ProductionSequence!P186+ProductionSequence!P200+ProductionSequence!P201</f>
        <v>249.890828</v>
      </c>
      <c r="J108" s="53"/>
    </row>
    <row r="109" spans="2:10" ht="12">
      <c r="B109" s="51" t="s">
        <v>220</v>
      </c>
      <c r="F109" s="52">
        <f>ProductionSequence!H187+ProductionSequence!H193+ProductionSequence!H197+ProductionSequence!H203</f>
        <v>0</v>
      </c>
      <c r="G109" s="52">
        <f>ProductionSequence!L187+ProductionSequence!L193+ProductionSequence!L197+ProductionSequence!L203</f>
        <v>0</v>
      </c>
      <c r="H109" s="52">
        <f>ProductionSequence!O187+ProductionSequence!O193+ProductionSequence!O197+ProductionSequence!O203</f>
        <v>402.79999999999995</v>
      </c>
      <c r="I109" s="52">
        <f>ProductionSequence!P187+ProductionSequence!P193+ProductionSequence!P197+ProductionSequence!P203</f>
        <v>402.79999999999995</v>
      </c>
      <c r="J109" s="53"/>
    </row>
    <row r="110" spans="2:10" ht="12">
      <c r="B110" s="51" t="s">
        <v>221</v>
      </c>
      <c r="F110" s="52">
        <f>ProductionSequence!H188+ProductionSequence!H194+ProductionSequence!H198+ProductionSequence!H204</f>
        <v>0</v>
      </c>
      <c r="G110" s="52">
        <f>ProductionSequence!L188+ProductionSequence!L194+ProductionSequence!L198+ProductionSequence!L204</f>
        <v>1434.375</v>
      </c>
      <c r="H110" s="52">
        <f>ProductionSequence!O188+ProductionSequence!O194+ProductionSequence!O198+ProductionSequence!O204</f>
        <v>402.79999999999995</v>
      </c>
      <c r="I110" s="52">
        <f>ProductionSequence!P188+ProductionSequence!P194+ProductionSequence!P198+ProductionSequence!P204</f>
        <v>1837.1750000000002</v>
      </c>
      <c r="J110" s="53"/>
    </row>
    <row r="111" spans="2:10" ht="12">
      <c r="B111" s="51" t="s">
        <v>181</v>
      </c>
      <c r="F111" s="52">
        <f>ProductionSequence!H189+ProductionSequence!H195+ProductionSequence!H199+ProductionSequence!H205</f>
        <v>0</v>
      </c>
      <c r="G111" s="52">
        <f>ProductionSequence!L189+ProductionSequence!L195+ProductionSequence!L199+ProductionSequence!L205</f>
        <v>0</v>
      </c>
      <c r="H111" s="52">
        <f>ProductionSequence!O189+ProductionSequence!O195+ProductionSequence!O199+ProductionSequence!O205</f>
        <v>1319.6249999999998</v>
      </c>
      <c r="I111" s="52">
        <f>ProductionSequence!P189+ProductionSequence!P195+ProductionSequence!P199+ProductionSequence!P205</f>
        <v>1319.6249999999998</v>
      </c>
      <c r="J111" s="53"/>
    </row>
    <row r="112" spans="2:10" ht="12">
      <c r="B112" s="51" t="s">
        <v>185</v>
      </c>
      <c r="F112" s="52">
        <f>ProductionSequence!H206</f>
        <v>0</v>
      </c>
      <c r="G112" s="52">
        <f>ProductionSequence!L206</f>
        <v>0</v>
      </c>
      <c r="H112" s="52">
        <f>ProductionSequence!O206</f>
        <v>63.599999999999994</v>
      </c>
      <c r="I112" s="52">
        <f>ProductionSequence!P206</f>
        <v>63.599999999999994</v>
      </c>
      <c r="J112" s="53"/>
    </row>
    <row r="113" spans="1:10" ht="12">
      <c r="A113" s="275" t="s">
        <v>298</v>
      </c>
      <c r="B113" s="276"/>
      <c r="C113" s="276"/>
      <c r="D113" s="276"/>
      <c r="E113" s="276"/>
      <c r="F113" s="277">
        <f>ProductionSequence!H207</f>
        <v>143.869228</v>
      </c>
      <c r="G113" s="277">
        <f>ProductionSequence!L207</f>
        <v>1709.4884000000002</v>
      </c>
      <c r="H113" s="277">
        <f>ProductionSequence!O207</f>
        <v>2255.4609999999993</v>
      </c>
      <c r="I113" s="277">
        <f>ProductionSequence!P207</f>
        <v>4108.818628</v>
      </c>
      <c r="J113" s="54"/>
    </row>
    <row r="114" spans="1:10" ht="12">
      <c r="A114" s="285" t="s">
        <v>299</v>
      </c>
      <c r="B114" s="284"/>
      <c r="C114" s="284"/>
      <c r="D114" s="284"/>
      <c r="E114" s="284"/>
      <c r="F114" s="287">
        <f>ProductionSequence!H208</f>
        <v>186.97877533333337</v>
      </c>
      <c r="G114" s="287">
        <f>ProductionSequence!L208</f>
        <v>2310.8388</v>
      </c>
      <c r="H114" s="287">
        <f>ProductionSequence!O208</f>
        <v>3017.203999999999</v>
      </c>
      <c r="I114" s="287">
        <f>ProductionSequence!P208</f>
        <v>5515.021575333334</v>
      </c>
      <c r="J114" s="54"/>
    </row>
    <row r="115" spans="1:10" ht="12">
      <c r="A115" s="290" t="s">
        <v>300</v>
      </c>
      <c r="B115" s="291"/>
      <c r="C115" s="291"/>
      <c r="D115" s="291"/>
      <c r="E115" s="291"/>
      <c r="F115" s="292">
        <f>ProductionSequence!H209</f>
        <v>1815.8120570000006</v>
      </c>
      <c r="G115" s="292">
        <f>ProductionSequence!L209</f>
        <v>8397.622000000001</v>
      </c>
      <c r="H115" s="292">
        <f>ProductionSequence!O209</f>
        <v>7105.632749999999</v>
      </c>
      <c r="I115" s="292">
        <f>ProductionSequence!P209</f>
        <v>17319.066806999996</v>
      </c>
      <c r="J115" s="54"/>
    </row>
    <row r="116" spans="1:10" ht="12">
      <c r="A116" s="295"/>
      <c r="B116" s="120"/>
      <c r="C116" s="120"/>
      <c r="D116" s="120"/>
      <c r="E116" s="120"/>
      <c r="F116" s="296"/>
      <c r="G116" s="296"/>
      <c r="H116" s="296"/>
      <c r="I116" s="296"/>
      <c r="J116" s="29"/>
    </row>
    <row r="117" ht="12">
      <c r="A117" s="297" t="s">
        <v>301</v>
      </c>
    </row>
    <row r="118" spans="2:10" ht="12">
      <c r="B118" s="340" t="s">
        <v>19</v>
      </c>
      <c r="I118" s="52">
        <f>ProductionSequence!P211</f>
        <v>16</v>
      </c>
      <c r="J118" s="53"/>
    </row>
    <row r="119" spans="2:10" ht="12">
      <c r="B119" s="340" t="s">
        <v>20</v>
      </c>
      <c r="I119" s="52">
        <f>ProductionSequence!P212</f>
        <v>100</v>
      </c>
      <c r="J119" s="53"/>
    </row>
    <row r="120" spans="2:10" ht="12">
      <c r="B120" s="340" t="s">
        <v>22</v>
      </c>
      <c r="I120" s="52">
        <f>ProductionSequence!P213</f>
        <v>25</v>
      </c>
      <c r="J120" s="53"/>
    </row>
    <row r="121" spans="2:10" ht="12">
      <c r="B121" s="161" t="s">
        <v>368</v>
      </c>
      <c r="I121" s="52">
        <f>ProductionSequence!P214</f>
        <v>0</v>
      </c>
      <c r="J121" s="53"/>
    </row>
    <row r="122" spans="1:10" ht="12">
      <c r="A122" s="298" t="s">
        <v>302</v>
      </c>
      <c r="B122" s="299"/>
      <c r="C122" s="299"/>
      <c r="D122" s="299"/>
      <c r="E122" s="299"/>
      <c r="F122" s="299"/>
      <c r="G122" s="299"/>
      <c r="H122" s="299"/>
      <c r="I122" s="332">
        <f>ProductionSequence!P215</f>
        <v>141</v>
      </c>
      <c r="J122" s="54"/>
    </row>
    <row r="123" spans="1:10" ht="12">
      <c r="A123" s="290" t="s">
        <v>393</v>
      </c>
      <c r="B123" s="291"/>
      <c r="C123" s="291"/>
      <c r="D123" s="291"/>
      <c r="E123" s="291"/>
      <c r="F123" s="292">
        <f>F112</f>
        <v>0</v>
      </c>
      <c r="G123" s="292">
        <f>G112</f>
        <v>0</v>
      </c>
      <c r="H123" s="292">
        <f>H112</f>
        <v>63.599999999999994</v>
      </c>
      <c r="I123" s="292">
        <f>I115+I122</f>
        <v>17460.066806999996</v>
      </c>
      <c r="J123" s="54"/>
    </row>
  </sheetData>
  <sheetProtection password="ECAF" sheet="1" selectLockedCells="1"/>
  <mergeCells count="1">
    <mergeCell ref="A1:J1"/>
  </mergeCells>
  <printOptions/>
  <pageMargins left="1" right="0"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sheetPr>
    <tabColor rgb="FF7030A0"/>
  </sheetPr>
  <dimension ref="A1:T35"/>
  <sheetViews>
    <sheetView showGridLines="0" workbookViewId="0" topLeftCell="A1">
      <selection activeCell="A1" sqref="A1:J32"/>
    </sheetView>
  </sheetViews>
  <sheetFormatPr defaultColWidth="8.8515625" defaultRowHeight="12.75"/>
  <cols>
    <col min="1" max="1" width="19.00390625" style="0" customWidth="1"/>
    <col min="2" max="2" width="17.7109375" style="0" customWidth="1"/>
    <col min="3" max="3" width="13.421875" style="0" customWidth="1"/>
    <col min="4" max="4" width="15.28125" style="0" customWidth="1"/>
    <col min="5" max="5" width="17.421875" style="0" customWidth="1"/>
    <col min="6" max="6" width="11.00390625" style="0" customWidth="1"/>
    <col min="7" max="7" width="3.28125" style="0" customWidth="1"/>
    <col min="8" max="8" width="17.00390625" style="0" customWidth="1"/>
    <col min="9" max="9" width="14.421875" style="0" customWidth="1"/>
    <col min="10" max="10" width="13.8515625" style="0" customWidth="1"/>
    <col min="11" max="11" width="2.7109375" style="0" customWidth="1"/>
    <col min="12" max="12" width="19.421875" style="0" customWidth="1"/>
    <col min="13" max="13" width="12.28125" style="0" customWidth="1"/>
    <col min="14" max="14" width="12.00390625" style="0" customWidth="1"/>
    <col min="15" max="18" width="13.140625" style="0" customWidth="1"/>
    <col min="19" max="19" width="13.28125" style="0" customWidth="1"/>
    <col min="20" max="20" width="10.8515625" style="0" customWidth="1"/>
  </cols>
  <sheetData>
    <row r="1" spans="1:20" ht="15">
      <c r="A1" s="300" t="s">
        <v>313</v>
      </c>
      <c r="G1" s="2"/>
      <c r="H1" s="26" t="s">
        <v>65</v>
      </c>
      <c r="I1" s="1"/>
      <c r="L1" s="166"/>
      <c r="M1" s="60"/>
      <c r="N1" s="60"/>
      <c r="O1" s="60"/>
      <c r="P1" s="60"/>
      <c r="Q1" s="60"/>
      <c r="R1" s="60"/>
      <c r="S1" s="60"/>
      <c r="T1" s="60"/>
    </row>
    <row r="2" spans="1:20" ht="15">
      <c r="A2" s="63" t="s">
        <v>3</v>
      </c>
      <c r="B2" s="125" t="s">
        <v>36</v>
      </c>
      <c r="C2" s="125" t="s">
        <v>40</v>
      </c>
      <c r="D2" s="125" t="s">
        <v>38</v>
      </c>
      <c r="E2" s="125" t="s">
        <v>39</v>
      </c>
      <c r="F2" s="125" t="s">
        <v>121</v>
      </c>
      <c r="G2" s="34"/>
      <c r="H2" s="63" t="s">
        <v>3</v>
      </c>
      <c r="I2" s="125" t="s">
        <v>38</v>
      </c>
      <c r="J2" s="125" t="s">
        <v>121</v>
      </c>
      <c r="L2" s="166"/>
      <c r="M2" s="341"/>
      <c r="N2" s="341"/>
      <c r="O2" s="341"/>
      <c r="P2" s="341"/>
      <c r="Q2" s="341"/>
      <c r="R2" s="341"/>
      <c r="S2" s="341"/>
      <c r="T2" s="341"/>
    </row>
    <row r="3" spans="1:20" ht="15">
      <c r="A3" s="63" t="s">
        <v>2</v>
      </c>
      <c r="B3" s="125" t="s">
        <v>2</v>
      </c>
      <c r="C3" s="125" t="s">
        <v>2</v>
      </c>
      <c r="D3" s="125" t="s">
        <v>2</v>
      </c>
      <c r="E3" s="125" t="s">
        <v>63</v>
      </c>
      <c r="F3" s="125" t="s">
        <v>39</v>
      </c>
      <c r="G3" s="35"/>
      <c r="H3" s="63" t="s">
        <v>2</v>
      </c>
      <c r="I3" s="125" t="s">
        <v>66</v>
      </c>
      <c r="J3" s="125" t="s">
        <v>39</v>
      </c>
      <c r="L3" s="166"/>
      <c r="M3" s="341"/>
      <c r="N3" s="341"/>
      <c r="O3" s="341"/>
      <c r="P3" s="341"/>
      <c r="Q3" s="341"/>
      <c r="R3" s="341"/>
      <c r="S3" s="341"/>
      <c r="T3" s="341"/>
    </row>
    <row r="4" spans="1:20" ht="15">
      <c r="A4" s="123"/>
      <c r="B4" s="124"/>
      <c r="C4" s="124"/>
      <c r="D4" s="124"/>
      <c r="E4" s="124"/>
      <c r="F4" s="124"/>
      <c r="G4" s="34"/>
      <c r="H4" s="123"/>
      <c r="I4" s="124"/>
      <c r="J4" s="124"/>
      <c r="L4" s="166"/>
      <c r="M4" s="167"/>
      <c r="N4" s="167"/>
      <c r="O4" s="167"/>
      <c r="P4" s="167"/>
      <c r="Q4" s="167"/>
      <c r="R4" s="167"/>
      <c r="S4" s="167"/>
      <c r="T4" s="167"/>
    </row>
    <row r="5" spans="1:20" ht="15">
      <c r="A5" s="259" t="s">
        <v>30</v>
      </c>
      <c r="B5" s="27">
        <f>ProductionSequence!H22</f>
        <v>223.35485999999997</v>
      </c>
      <c r="C5" s="27">
        <f>ProductionSequence!L22</f>
        <v>324.55999999999995</v>
      </c>
      <c r="D5" s="27">
        <f>ProductionSequence!O22</f>
        <v>343.44000000000005</v>
      </c>
      <c r="E5" s="35">
        <f>SUM(B5:D5)</f>
        <v>891.3548599999999</v>
      </c>
      <c r="F5" s="157">
        <f>E5/E$18</f>
        <v>0.05105105666850271</v>
      </c>
      <c r="G5" s="34"/>
      <c r="H5" s="259" t="s">
        <v>30</v>
      </c>
      <c r="I5" s="27">
        <f>ProductionSequence!M22</f>
        <v>32.4</v>
      </c>
      <c r="J5" s="158">
        <f>I5/I$17</f>
        <v>0.016045094639440354</v>
      </c>
      <c r="L5" s="342"/>
      <c r="M5" s="343"/>
      <c r="N5" s="343"/>
      <c r="O5" s="343"/>
      <c r="P5" s="343"/>
      <c r="Q5" s="343"/>
      <c r="R5" s="343"/>
      <c r="S5" s="344"/>
      <c r="T5" s="345"/>
    </row>
    <row r="6" spans="1:20" ht="15">
      <c r="A6" s="259" t="s">
        <v>32</v>
      </c>
      <c r="B6" s="27">
        <v>0</v>
      </c>
      <c r="C6" s="27">
        <v>0</v>
      </c>
      <c r="D6" s="27">
        <v>0</v>
      </c>
      <c r="E6" s="35">
        <v>0</v>
      </c>
      <c r="F6" s="157">
        <f aca="true" t="shared" si="0" ref="F6:F17">E6/E$18</f>
        <v>0</v>
      </c>
      <c r="G6" s="34"/>
      <c r="H6" s="259" t="s">
        <v>32</v>
      </c>
      <c r="I6" s="27">
        <v>0</v>
      </c>
      <c r="J6" s="158">
        <f aca="true" t="shared" si="1" ref="J6:J17">I6/I$17</f>
        <v>0</v>
      </c>
      <c r="L6" s="342"/>
      <c r="M6" s="343"/>
      <c r="N6" s="343"/>
      <c r="O6" s="343"/>
      <c r="P6" s="343"/>
      <c r="Q6" s="343"/>
      <c r="R6" s="343"/>
      <c r="S6" s="344"/>
      <c r="T6" s="345"/>
    </row>
    <row r="7" spans="1:20" ht="15">
      <c r="A7" s="259" t="s">
        <v>33</v>
      </c>
      <c r="B7" s="27">
        <f>ProductionSequence!H41</f>
        <v>182.4691533333333</v>
      </c>
      <c r="C7" s="27">
        <f>ProductionSequence!L41</f>
        <v>2327.2400000000002</v>
      </c>
      <c r="D7" s="27">
        <f>ProductionSequence!O41</f>
        <v>660.5287500000001</v>
      </c>
      <c r="E7" s="35">
        <f aca="true" t="shared" si="2" ref="E7:E16">SUM(B7:D7)</f>
        <v>3170.2379033333336</v>
      </c>
      <c r="F7" s="157">
        <f t="shared" si="0"/>
        <v>0.18157077738455954</v>
      </c>
      <c r="G7" s="34"/>
      <c r="H7" s="259" t="s">
        <v>33</v>
      </c>
      <c r="I7" s="27">
        <f>ProductionSequence!M41</f>
        <v>60.06875000000001</v>
      </c>
      <c r="J7" s="158">
        <f t="shared" si="1"/>
        <v>0.02974718452539762</v>
      </c>
      <c r="L7" s="342"/>
      <c r="M7" s="343"/>
      <c r="N7" s="343"/>
      <c r="O7" s="343"/>
      <c r="P7" s="343"/>
      <c r="Q7" s="343"/>
      <c r="R7" s="343"/>
      <c r="S7" s="344"/>
      <c r="T7" s="345"/>
    </row>
    <row r="8" spans="1:20" ht="15">
      <c r="A8" s="259" t="s">
        <v>34</v>
      </c>
      <c r="B8" s="27">
        <f>ProductionSequence!H55</f>
        <v>482.0447316666666</v>
      </c>
      <c r="C8" s="27">
        <f>ProductionSequence!L55</f>
        <v>653.8400000000001</v>
      </c>
      <c r="D8" s="27">
        <f>ProductionSequence!O55</f>
        <v>912.1800000000001</v>
      </c>
      <c r="E8" s="35">
        <f t="shared" si="2"/>
        <v>2048.064731666667</v>
      </c>
      <c r="F8" s="157">
        <f t="shared" si="0"/>
        <v>0.11729993672450141</v>
      </c>
      <c r="G8" s="34"/>
      <c r="H8" s="259" t="s">
        <v>34</v>
      </c>
      <c r="I8" s="27">
        <f>ProductionSequence!M55</f>
        <v>84.9</v>
      </c>
      <c r="J8" s="158">
        <f t="shared" si="1"/>
        <v>0.042044090582977964</v>
      </c>
      <c r="L8" s="342"/>
      <c r="M8" s="343"/>
      <c r="N8" s="343"/>
      <c r="O8" s="343"/>
      <c r="P8" s="343"/>
      <c r="Q8" s="343"/>
      <c r="R8" s="343"/>
      <c r="S8" s="344"/>
      <c r="T8" s="345"/>
    </row>
    <row r="9" spans="1:20" ht="15">
      <c r="A9" s="259" t="s">
        <v>16</v>
      </c>
      <c r="B9" s="27">
        <f>ProductionSequence!H65</f>
        <v>57.52208066666667</v>
      </c>
      <c r="C9" s="27">
        <f>ProductionSequence!L65</f>
        <v>142.3</v>
      </c>
      <c r="D9" s="27">
        <f>ProductionSequence!O65</f>
        <v>64.968</v>
      </c>
      <c r="E9" s="35">
        <f t="shared" si="2"/>
        <v>264.7900806666667</v>
      </c>
      <c r="F9" s="157">
        <f t="shared" si="0"/>
        <v>0.015165467783920993</v>
      </c>
      <c r="G9" s="34"/>
      <c r="H9" s="259" t="s">
        <v>16</v>
      </c>
      <c r="I9" s="27">
        <f>ProductionSequence!M65</f>
        <v>5.680000000000001</v>
      </c>
      <c r="J9" s="158">
        <f t="shared" si="1"/>
        <v>0.002812843751605593</v>
      </c>
      <c r="L9" s="342"/>
      <c r="M9" s="343"/>
      <c r="N9" s="343"/>
      <c r="O9" s="343"/>
      <c r="P9" s="343"/>
      <c r="Q9" s="343"/>
      <c r="R9" s="343"/>
      <c r="S9" s="344"/>
      <c r="T9" s="345"/>
    </row>
    <row r="10" spans="1:20" ht="15">
      <c r="A10" s="259" t="s">
        <v>0</v>
      </c>
      <c r="B10" s="27">
        <f>ProductionSequence!H71</f>
        <v>13.427414</v>
      </c>
      <c r="C10" s="27">
        <f>ProductionSequence!L71</f>
        <v>145.45</v>
      </c>
      <c r="D10" s="27">
        <f>ProductionSequence!O71</f>
        <v>8.268</v>
      </c>
      <c r="E10" s="35">
        <f t="shared" si="2"/>
        <v>167.145414</v>
      </c>
      <c r="F10" s="157">
        <f t="shared" si="0"/>
        <v>0.00957301113721907</v>
      </c>
      <c r="G10" s="34"/>
      <c r="H10" s="259" t="s">
        <v>0</v>
      </c>
      <c r="I10" s="27">
        <f>ProductionSequence!M71</f>
        <v>0.78</v>
      </c>
      <c r="J10" s="158">
        <f t="shared" si="1"/>
        <v>0.00038627079687541594</v>
      </c>
      <c r="L10" s="342"/>
      <c r="M10" s="343"/>
      <c r="N10" s="343"/>
      <c r="O10" s="343"/>
      <c r="P10" s="343"/>
      <c r="Q10" s="343"/>
      <c r="R10" s="343"/>
      <c r="S10" s="344"/>
      <c r="T10" s="345"/>
    </row>
    <row r="11" spans="1:20" ht="15">
      <c r="A11" s="259" t="s">
        <v>1</v>
      </c>
      <c r="B11" s="27">
        <f>ProductionSequence!H81</f>
        <v>14.280344000000001</v>
      </c>
      <c r="C11" s="27">
        <f>ProductionSequence!L81</f>
        <v>1333.6000000000001</v>
      </c>
      <c r="D11" s="27">
        <f>ProductionSequence!O81</f>
        <v>358.0679999999999</v>
      </c>
      <c r="E11" s="35">
        <f t="shared" si="2"/>
        <v>1705.9483440000001</v>
      </c>
      <c r="F11" s="157">
        <f t="shared" si="0"/>
        <v>0.09770571687137306</v>
      </c>
      <c r="G11" s="34"/>
      <c r="H11" s="259" t="s">
        <v>1</v>
      </c>
      <c r="I11" s="27">
        <f>ProductionSequence!M81</f>
        <v>33.78</v>
      </c>
      <c r="J11" s="158">
        <f t="shared" si="1"/>
        <v>0.01672849681852763</v>
      </c>
      <c r="L11" s="342"/>
      <c r="M11" s="343"/>
      <c r="N11" s="343"/>
      <c r="O11" s="343"/>
      <c r="P11" s="343"/>
      <c r="Q11" s="343"/>
      <c r="R11" s="343"/>
      <c r="S11" s="344"/>
      <c r="T11" s="345"/>
    </row>
    <row r="12" spans="1:20" ht="15">
      <c r="A12" s="259" t="s">
        <v>28</v>
      </c>
      <c r="B12" s="27">
        <f>ProductionSequence!H85</f>
        <v>0</v>
      </c>
      <c r="C12" s="27">
        <f>ProductionSequence!L85</f>
        <v>0</v>
      </c>
      <c r="D12" s="27">
        <f>ProductionSequence!O85</f>
        <v>530</v>
      </c>
      <c r="E12" s="35">
        <f t="shared" si="2"/>
        <v>530</v>
      </c>
      <c r="F12" s="157">
        <f t="shared" si="0"/>
        <v>0.030354981218486246</v>
      </c>
      <c r="G12" s="34"/>
      <c r="H12" s="259" t="s">
        <v>28</v>
      </c>
      <c r="I12" s="27">
        <f>ProductionSequence!M85</f>
        <v>50</v>
      </c>
      <c r="J12" s="158">
        <f t="shared" si="1"/>
        <v>0.024760948517654868</v>
      </c>
      <c r="L12" s="342"/>
      <c r="M12" s="343"/>
      <c r="N12" s="343"/>
      <c r="O12" s="343"/>
      <c r="P12" s="343"/>
      <c r="Q12" s="343"/>
      <c r="R12" s="343"/>
      <c r="S12" s="344"/>
      <c r="T12" s="345"/>
    </row>
    <row r="13" spans="1:20" ht="15">
      <c r="A13" s="259" t="s">
        <v>27</v>
      </c>
      <c r="B13" s="27">
        <f>ProductionSequence!H108</f>
        <v>42.124428</v>
      </c>
      <c r="C13" s="27">
        <f>ProductionSequence!L108</f>
        <v>401.09000000000003</v>
      </c>
      <c r="D13" s="27">
        <f>ProductionSequence!O108</f>
        <v>429.336</v>
      </c>
      <c r="E13" s="35">
        <f t="shared" si="2"/>
        <v>872.550428</v>
      </c>
      <c r="F13" s="157">
        <f t="shared" si="0"/>
        <v>0.04997406010211724</v>
      </c>
      <c r="G13" s="34"/>
      <c r="H13" s="259" t="s">
        <v>27</v>
      </c>
      <c r="I13" s="27">
        <f>ProductionSequence!M108</f>
        <v>39.06</v>
      </c>
      <c r="J13" s="158">
        <f t="shared" si="1"/>
        <v>0.019343252981991983</v>
      </c>
      <c r="L13" s="342"/>
      <c r="M13" s="343"/>
      <c r="N13" s="343"/>
      <c r="O13" s="343"/>
      <c r="P13" s="343"/>
      <c r="Q13" s="343"/>
      <c r="R13" s="343"/>
      <c r="S13" s="344"/>
      <c r="T13" s="345"/>
    </row>
    <row r="14" spans="1:20" ht="15">
      <c r="A14" s="259" t="s">
        <v>29</v>
      </c>
      <c r="B14" s="27">
        <f>ProductionSequence!H144</f>
        <v>359.940642</v>
      </c>
      <c r="C14" s="27">
        <f>ProductionSequence!L144</f>
        <v>493.6643999999999</v>
      </c>
      <c r="D14" s="27">
        <f>ProductionSequence!O144</f>
        <v>619.8040000000001</v>
      </c>
      <c r="E14" s="35">
        <f t="shared" si="2"/>
        <v>1473.409042</v>
      </c>
      <c r="F14" s="157">
        <f t="shared" si="0"/>
        <v>0.08438736565482606</v>
      </c>
      <c r="G14" s="34"/>
      <c r="H14" s="259" t="s">
        <v>29</v>
      </c>
      <c r="I14" s="27">
        <f>ProductionSequence!M144</f>
        <v>53.34</v>
      </c>
      <c r="J14" s="158">
        <f t="shared" si="1"/>
        <v>0.026414979878634212</v>
      </c>
      <c r="L14" s="342"/>
      <c r="M14" s="343"/>
      <c r="N14" s="343"/>
      <c r="O14" s="343"/>
      <c r="P14" s="343"/>
      <c r="Q14" s="343"/>
      <c r="R14" s="343"/>
      <c r="S14" s="344"/>
      <c r="T14" s="345"/>
    </row>
    <row r="15" spans="1:20" ht="15">
      <c r="A15" s="259" t="s">
        <v>25</v>
      </c>
      <c r="B15" s="27">
        <f>ProductionSequence!H178</f>
        <v>296.77917533333334</v>
      </c>
      <c r="C15" s="27">
        <f>ProductionSequence!L178</f>
        <v>866.3892000000001</v>
      </c>
      <c r="D15" s="27">
        <f>ProductionSequence!O178</f>
        <v>923.579</v>
      </c>
      <c r="E15" s="35">
        <f t="shared" si="2"/>
        <v>2086.7473753333334</v>
      </c>
      <c r="F15" s="157">
        <f t="shared" si="0"/>
        <v>0.11951542903012982</v>
      </c>
      <c r="G15" s="34"/>
      <c r="H15" s="259" t="s">
        <v>25</v>
      </c>
      <c r="I15" s="27">
        <f>ProductionSequence!M178</f>
        <v>424.53999999999996</v>
      </c>
      <c r="J15" s="158">
        <f t="shared" si="1"/>
        <v>0.21024026167370394</v>
      </c>
      <c r="L15" s="342"/>
      <c r="M15" s="343"/>
      <c r="N15" s="343"/>
      <c r="O15" s="343"/>
      <c r="P15" s="343"/>
      <c r="Q15" s="343"/>
      <c r="R15" s="343"/>
      <c r="S15" s="344"/>
      <c r="T15" s="345"/>
    </row>
    <row r="16" spans="1:20" ht="15">
      <c r="A16" s="259" t="s">
        <v>17</v>
      </c>
      <c r="B16" s="27">
        <f>ProductionSequence!H207</f>
        <v>143.869228</v>
      </c>
      <c r="C16" s="27">
        <f>ProductionSequence!L207</f>
        <v>1709.4884000000002</v>
      </c>
      <c r="D16" s="27">
        <f>ProductionSequence!O207</f>
        <v>2255.4609999999993</v>
      </c>
      <c r="E16" s="35">
        <f t="shared" si="2"/>
        <v>4108.818627999999</v>
      </c>
      <c r="F16" s="157">
        <f t="shared" si="0"/>
        <v>0.23532662694925735</v>
      </c>
      <c r="G16" s="34"/>
      <c r="H16" s="259" t="s">
        <v>17</v>
      </c>
      <c r="I16" s="27">
        <f>ProductionSequence!M207</f>
        <v>1234.76</v>
      </c>
      <c r="J16" s="158">
        <f t="shared" si="1"/>
        <v>0.6114765758331905</v>
      </c>
      <c r="L16" s="342"/>
      <c r="M16" s="343"/>
      <c r="N16" s="343"/>
      <c r="O16" s="343"/>
      <c r="P16" s="343"/>
      <c r="Q16" s="343"/>
      <c r="R16" s="343"/>
      <c r="S16" s="344"/>
      <c r="T16" s="345"/>
    </row>
    <row r="17" spans="1:20" ht="15">
      <c r="A17" s="124" t="s">
        <v>64</v>
      </c>
      <c r="B17" s="27">
        <f>ProductionSequence!H215</f>
        <v>0</v>
      </c>
      <c r="C17" s="27">
        <v>0</v>
      </c>
      <c r="D17" s="27">
        <f>ProductionSequence!O215</f>
        <v>0</v>
      </c>
      <c r="E17" s="326">
        <f>ProductionSequence!P215</f>
        <v>141</v>
      </c>
      <c r="F17" s="157">
        <f t="shared" si="0"/>
        <v>0.008075570475106719</v>
      </c>
      <c r="G17" s="34"/>
      <c r="H17" s="63" t="s">
        <v>223</v>
      </c>
      <c r="I17" s="261">
        <f>SUM(I5:I16)</f>
        <v>2019.30875</v>
      </c>
      <c r="J17" s="262">
        <f t="shared" si="1"/>
        <v>1</v>
      </c>
      <c r="L17" s="327"/>
      <c r="M17" s="328"/>
      <c r="N17" s="328"/>
      <c r="O17" s="328"/>
      <c r="P17" s="328"/>
      <c r="Q17" s="328"/>
      <c r="R17" s="328"/>
      <c r="S17" s="328"/>
      <c r="T17" s="329"/>
    </row>
    <row r="18" spans="1:20" ht="15">
      <c r="A18" s="173" t="s">
        <v>120</v>
      </c>
      <c r="B18" s="174">
        <f>SUM(B5:B17)</f>
        <v>1815.8120569999999</v>
      </c>
      <c r="C18" s="174">
        <f>SUM(C5:C17)</f>
        <v>8397.622000000001</v>
      </c>
      <c r="D18" s="174">
        <f>SUM(D5:D17)</f>
        <v>7105.63275</v>
      </c>
      <c r="E18" s="174">
        <f>SUM(E5:E17)</f>
        <v>17460.066806999996</v>
      </c>
      <c r="F18" s="175">
        <f>SUM(F5:F17)</f>
        <v>1.0000000000000002</v>
      </c>
      <c r="G18" s="36"/>
      <c r="H18" s="166"/>
      <c r="I18" s="167"/>
      <c r="J18" s="167"/>
      <c r="L18" s="60"/>
      <c r="M18" s="60"/>
      <c r="N18" s="60"/>
      <c r="O18" s="60"/>
      <c r="P18" s="60"/>
      <c r="Q18" s="60"/>
      <c r="R18" s="60"/>
      <c r="S18" s="60"/>
      <c r="T18" s="60"/>
    </row>
    <row r="19" spans="1:20" ht="15">
      <c r="A19" s="327"/>
      <c r="B19" s="328"/>
      <c r="C19" s="328"/>
      <c r="D19" s="328"/>
      <c r="E19" s="328"/>
      <c r="F19" s="329"/>
      <c r="G19" s="36"/>
      <c r="H19" s="166"/>
      <c r="I19" s="167"/>
      <c r="J19" s="167"/>
      <c r="L19" s="60"/>
      <c r="M19" s="60"/>
      <c r="N19" s="60"/>
      <c r="O19" s="60"/>
      <c r="P19" s="60"/>
      <c r="Q19" s="60"/>
      <c r="R19" s="60"/>
      <c r="S19" s="60"/>
      <c r="T19" s="60"/>
    </row>
    <row r="20" spans="12:20" ht="12">
      <c r="L20" s="60"/>
      <c r="M20" s="60"/>
      <c r="N20" s="60"/>
      <c r="O20" s="60"/>
      <c r="P20" s="60"/>
      <c r="Q20" s="60"/>
      <c r="R20" s="60"/>
      <c r="S20" s="60"/>
      <c r="T20" s="60"/>
    </row>
    <row r="21" spans="1:20" ht="15">
      <c r="A21" s="380" t="s">
        <v>366</v>
      </c>
      <c r="B21" s="380"/>
      <c r="C21" s="380"/>
      <c r="D21" s="380"/>
      <c r="E21" s="380"/>
      <c r="H21" s="26" t="s">
        <v>367</v>
      </c>
      <c r="I21" s="1"/>
      <c r="L21" s="381"/>
      <c r="M21" s="381"/>
      <c r="N21" s="381"/>
      <c r="O21" s="381"/>
      <c r="P21" s="381"/>
      <c r="Q21" s="381"/>
      <c r="R21" s="381"/>
      <c r="S21" s="381"/>
      <c r="T21" s="60"/>
    </row>
    <row r="22" spans="1:20" ht="15">
      <c r="A22" s="63" t="s">
        <v>314</v>
      </c>
      <c r="B22" s="125" t="s">
        <v>36</v>
      </c>
      <c r="C22" s="125" t="s">
        <v>40</v>
      </c>
      <c r="D22" s="125" t="s">
        <v>38</v>
      </c>
      <c r="E22" s="125" t="s">
        <v>39</v>
      </c>
      <c r="F22" s="125" t="s">
        <v>121</v>
      </c>
      <c r="H22" s="63" t="s">
        <v>3</v>
      </c>
      <c r="I22" s="125" t="s">
        <v>38</v>
      </c>
      <c r="J22" s="125" t="s">
        <v>121</v>
      </c>
      <c r="L22" s="166"/>
      <c r="M22" s="341"/>
      <c r="N22" s="341"/>
      <c r="O22" s="341"/>
      <c r="P22" s="341"/>
      <c r="Q22" s="341"/>
      <c r="R22" s="341"/>
      <c r="S22" s="341"/>
      <c r="T22" s="341"/>
    </row>
    <row r="23" spans="1:20" ht="15">
      <c r="A23" s="63" t="s">
        <v>2</v>
      </c>
      <c r="B23" s="125" t="s">
        <v>2</v>
      </c>
      <c r="C23" s="125" t="s">
        <v>2</v>
      </c>
      <c r="D23" s="125" t="s">
        <v>2</v>
      </c>
      <c r="E23" s="125" t="s">
        <v>63</v>
      </c>
      <c r="F23" s="125" t="s">
        <v>39</v>
      </c>
      <c r="H23" s="63" t="s">
        <v>2</v>
      </c>
      <c r="I23" s="125" t="s">
        <v>66</v>
      </c>
      <c r="J23" s="125" t="s">
        <v>39</v>
      </c>
      <c r="L23" s="166"/>
      <c r="M23" s="341"/>
      <c r="N23" s="341"/>
      <c r="O23" s="341"/>
      <c r="P23" s="341"/>
      <c r="Q23" s="341"/>
      <c r="R23" s="341"/>
      <c r="S23" s="341"/>
      <c r="T23" s="341"/>
    </row>
    <row r="24" spans="1:20" ht="15">
      <c r="A24" s="123"/>
      <c r="B24" s="124"/>
      <c r="C24" s="124"/>
      <c r="D24" s="124"/>
      <c r="E24" s="124"/>
      <c r="F24" s="124"/>
      <c r="H24" s="123"/>
      <c r="I24" s="124"/>
      <c r="J24" s="124"/>
      <c r="L24" s="166"/>
      <c r="M24" s="167"/>
      <c r="N24" s="167"/>
      <c r="O24" s="167"/>
      <c r="P24" s="167"/>
      <c r="Q24" s="167"/>
      <c r="R24" s="167"/>
      <c r="S24" s="167"/>
      <c r="T24" s="167"/>
    </row>
    <row r="25" spans="1:20" ht="15">
      <c r="A25" s="259" t="s">
        <v>315</v>
      </c>
      <c r="B25" s="27">
        <f>ProductionSequence!H23</f>
        <v>223.35485999999997</v>
      </c>
      <c r="C25" s="27">
        <f>ProductionSequence!L23</f>
        <v>324.55999999999995</v>
      </c>
      <c r="D25" s="27">
        <f>ProductionSequence!O23</f>
        <v>343.44000000000005</v>
      </c>
      <c r="E25" s="35">
        <f aca="true" t="shared" si="3" ref="E25:E30">SUM(B25:D25)</f>
        <v>891.3548599999999</v>
      </c>
      <c r="F25" s="157">
        <f aca="true" t="shared" si="4" ref="F25:F31">E25/E$18</f>
        <v>0.05105105666850271</v>
      </c>
      <c r="H25" s="259" t="s">
        <v>315</v>
      </c>
      <c r="I25" s="27">
        <f>ProductionSequence!M23</f>
        <v>32.4</v>
      </c>
      <c r="J25" s="158">
        <f>I25/I$17</f>
        <v>0.016045094639440354</v>
      </c>
      <c r="L25" s="342"/>
      <c r="M25" s="343"/>
      <c r="N25" s="343"/>
      <c r="O25" s="343"/>
      <c r="P25" s="343"/>
      <c r="Q25" s="343"/>
      <c r="R25" s="343"/>
      <c r="S25" s="344"/>
      <c r="T25" s="345"/>
    </row>
    <row r="26" spans="1:20" ht="15">
      <c r="A26" s="259" t="s">
        <v>316</v>
      </c>
      <c r="B26" s="27">
        <f>ProductionSequence!H50</f>
        <v>339.833485</v>
      </c>
      <c r="C26" s="27">
        <f>ProductionSequence!L50</f>
        <v>2981.0800000000004</v>
      </c>
      <c r="D26" s="27">
        <f>ProductionSequence!O50</f>
        <v>1140.22875</v>
      </c>
      <c r="E26" s="35">
        <f t="shared" si="3"/>
        <v>4461.142235</v>
      </c>
      <c r="F26" s="157">
        <f t="shared" si="4"/>
        <v>0.2555054504838128</v>
      </c>
      <c r="H26" s="259" t="s">
        <v>316</v>
      </c>
      <c r="I26" s="27">
        <f>ProductionSequence!M50</f>
        <v>104.16875000000002</v>
      </c>
      <c r="J26" s="158">
        <f aca="true" t="shared" si="5" ref="J26:J31">I26/I$17</f>
        <v>0.05158634111796922</v>
      </c>
      <c r="L26" s="342"/>
      <c r="M26" s="343"/>
      <c r="N26" s="343"/>
      <c r="O26" s="343"/>
      <c r="P26" s="343"/>
      <c r="Q26" s="343"/>
      <c r="R26" s="343"/>
      <c r="S26" s="344"/>
      <c r="T26" s="345"/>
    </row>
    <row r="27" spans="1:20" ht="15">
      <c r="A27" s="259" t="s">
        <v>317</v>
      </c>
      <c r="B27" s="27">
        <f>ProductionSequence!H72</f>
        <v>395.62989466666664</v>
      </c>
      <c r="C27" s="27">
        <f>ProductionSequence!L72</f>
        <v>287.75</v>
      </c>
      <c r="D27" s="27">
        <f>ProductionSequence!O72</f>
        <v>505.71600000000024</v>
      </c>
      <c r="E27" s="35">
        <f t="shared" si="3"/>
        <v>1189.095894666667</v>
      </c>
      <c r="F27" s="157">
        <f t="shared" si="4"/>
        <v>0.06810374254638825</v>
      </c>
      <c r="H27" s="259" t="s">
        <v>317</v>
      </c>
      <c r="I27" s="27">
        <f>ProductionSequence!M72</f>
        <v>47.26</v>
      </c>
      <c r="J27" s="158">
        <f t="shared" si="5"/>
        <v>0.02340404853888738</v>
      </c>
      <c r="L27" s="342"/>
      <c r="M27" s="343"/>
      <c r="N27" s="343"/>
      <c r="O27" s="343"/>
      <c r="P27" s="343"/>
      <c r="Q27" s="343"/>
      <c r="R27" s="343"/>
      <c r="S27" s="344"/>
      <c r="T27" s="345"/>
    </row>
    <row r="28" spans="1:20" ht="15">
      <c r="A28" s="259" t="s">
        <v>318</v>
      </c>
      <c r="B28" s="27">
        <f>ProductionSequence!H89</f>
        <v>14.280344000000001</v>
      </c>
      <c r="C28" s="27">
        <f>ProductionSequence!L89</f>
        <v>1333.6000000000001</v>
      </c>
      <c r="D28" s="27">
        <f>ProductionSequence!O89</f>
        <v>965.6679999999999</v>
      </c>
      <c r="E28" s="35">
        <f t="shared" si="3"/>
        <v>2313.548344</v>
      </c>
      <c r="F28" s="157">
        <f t="shared" si="4"/>
        <v>0.1325051255286414</v>
      </c>
      <c r="H28" s="259" t="s">
        <v>318</v>
      </c>
      <c r="I28" s="27">
        <f>ProductionSequence!M89</f>
        <v>90.78</v>
      </c>
      <c r="J28" s="158">
        <f t="shared" si="5"/>
        <v>0.04495597812865418</v>
      </c>
      <c r="L28" s="342"/>
      <c r="M28" s="343"/>
      <c r="N28" s="343"/>
      <c r="O28" s="343"/>
      <c r="P28" s="343"/>
      <c r="Q28" s="343"/>
      <c r="R28" s="343"/>
      <c r="S28" s="344"/>
      <c r="T28" s="345"/>
    </row>
    <row r="29" spans="1:20" ht="15">
      <c r="A29" s="259" t="s">
        <v>319</v>
      </c>
      <c r="B29" s="27">
        <f>ProductionSequence!H162</f>
        <v>655.7346980000003</v>
      </c>
      <c r="C29" s="27">
        <f>ProductionSequence!L162</f>
        <v>1159.7932000000003</v>
      </c>
      <c r="D29" s="27">
        <f>ProductionSequence!O162</f>
        <v>1133.376</v>
      </c>
      <c r="E29" s="35">
        <f t="shared" si="3"/>
        <v>2948.9038980000005</v>
      </c>
      <c r="F29" s="157">
        <f t="shared" si="4"/>
        <v>0.16889419328096394</v>
      </c>
      <c r="H29" s="259" t="s">
        <v>319</v>
      </c>
      <c r="I29" s="27">
        <f>ProductionSequence!M162</f>
        <v>97.46000000000001</v>
      </c>
      <c r="J29" s="158">
        <f t="shared" si="5"/>
        <v>0.04826404085061287</v>
      </c>
      <c r="L29" s="342"/>
      <c r="M29" s="343"/>
      <c r="N29" s="343"/>
      <c r="O29" s="343"/>
      <c r="P29" s="343"/>
      <c r="Q29" s="343"/>
      <c r="R29" s="343"/>
      <c r="S29" s="344"/>
      <c r="T29" s="345"/>
    </row>
    <row r="30" spans="1:20" ht="15">
      <c r="A30" s="259" t="s">
        <v>320</v>
      </c>
      <c r="B30" s="27">
        <f>ProductionSequence!H208</f>
        <v>186.97877533333337</v>
      </c>
      <c r="C30" s="27">
        <f>ProductionSequence!L208</f>
        <v>2310.8388</v>
      </c>
      <c r="D30" s="27">
        <f>ProductionSequence!O208</f>
        <v>3017.203999999999</v>
      </c>
      <c r="E30" s="35">
        <f t="shared" si="3"/>
        <v>5515.021575333332</v>
      </c>
      <c r="F30" s="157">
        <f t="shared" si="4"/>
        <v>0.3158648610165844</v>
      </c>
      <c r="H30" s="259" t="s">
        <v>320</v>
      </c>
      <c r="I30" s="27">
        <f>ProductionSequence!M208</f>
        <v>1647.2400000000002</v>
      </c>
      <c r="J30" s="158">
        <f t="shared" si="5"/>
        <v>0.8157444967244362</v>
      </c>
      <c r="L30" s="342"/>
      <c r="M30" s="343"/>
      <c r="N30" s="343"/>
      <c r="O30" s="343"/>
      <c r="P30" s="343"/>
      <c r="Q30" s="343"/>
      <c r="R30" s="343"/>
      <c r="S30" s="344"/>
      <c r="T30" s="345"/>
    </row>
    <row r="31" spans="1:20" ht="15">
      <c r="A31" s="124" t="s">
        <v>64</v>
      </c>
      <c r="B31" s="27">
        <f>ProductionSequence!H234</f>
        <v>0</v>
      </c>
      <c r="C31" s="27">
        <f>ProductionSequence!L234</f>
        <v>0</v>
      </c>
      <c r="D31" s="27">
        <f>ProductionSequence!O234</f>
        <v>0</v>
      </c>
      <c r="E31" s="326">
        <f>ProductionSequence!P215</f>
        <v>141</v>
      </c>
      <c r="F31" s="157">
        <f t="shared" si="4"/>
        <v>0.008075570475106719</v>
      </c>
      <c r="H31" s="63" t="s">
        <v>223</v>
      </c>
      <c r="I31" s="261">
        <f>SUM(I25:I30)</f>
        <v>2019.3087500000001</v>
      </c>
      <c r="J31" s="262">
        <f t="shared" si="5"/>
        <v>1.0000000000000002</v>
      </c>
      <c r="L31" s="327"/>
      <c r="M31" s="328"/>
      <c r="N31" s="328"/>
      <c r="O31" s="328"/>
      <c r="P31" s="328"/>
      <c r="Q31" s="328"/>
      <c r="R31" s="328"/>
      <c r="S31" s="328"/>
      <c r="T31" s="329"/>
    </row>
    <row r="32" spans="1:20" ht="15">
      <c r="A32" s="173" t="s">
        <v>120</v>
      </c>
      <c r="B32" s="174">
        <f>SUM(B25:B31)</f>
        <v>1815.8120570000006</v>
      </c>
      <c r="C32" s="174">
        <f>SUM(C25:C31)</f>
        <v>8397.622000000001</v>
      </c>
      <c r="D32" s="174">
        <f>SUM(D25:D31)</f>
        <v>7105.632749999999</v>
      </c>
      <c r="E32" s="174">
        <f>SUM(E25:E31)</f>
        <v>17460.066807</v>
      </c>
      <c r="F32" s="175">
        <f>SUM(F25:F31)</f>
        <v>1.0000000000000002</v>
      </c>
      <c r="L32" s="60"/>
      <c r="M32" s="60"/>
      <c r="N32" s="60"/>
      <c r="O32" s="60"/>
      <c r="P32" s="60"/>
      <c r="Q32" s="60"/>
      <c r="R32" s="60"/>
      <c r="S32" s="60"/>
      <c r="T32" s="60"/>
    </row>
    <row r="33" spans="12:20" ht="12">
      <c r="L33" s="60"/>
      <c r="M33" s="60"/>
      <c r="N33" s="60"/>
      <c r="O33" s="60"/>
      <c r="P33" s="60"/>
      <c r="Q33" s="60"/>
      <c r="R33" s="60"/>
      <c r="S33" s="60"/>
      <c r="T33" s="60"/>
    </row>
    <row r="34" spans="12:20" ht="12">
      <c r="L34" s="60"/>
      <c r="M34" s="60"/>
      <c r="N34" s="60"/>
      <c r="O34" s="60"/>
      <c r="P34" s="60"/>
      <c r="Q34" s="60"/>
      <c r="R34" s="60"/>
      <c r="S34" s="60"/>
      <c r="T34" s="60"/>
    </row>
    <row r="35" spans="12:20" ht="12">
      <c r="L35" s="60"/>
      <c r="M35" s="60"/>
      <c r="N35" s="60"/>
      <c r="O35" s="60"/>
      <c r="P35" s="60"/>
      <c r="Q35" s="60"/>
      <c r="R35" s="60"/>
      <c r="S35" s="60"/>
      <c r="T35" s="60"/>
    </row>
  </sheetData>
  <sheetProtection password="ECAF" sheet="1" selectLockedCells="1"/>
  <mergeCells count="2">
    <mergeCell ref="A21:E21"/>
    <mergeCell ref="L21:S21"/>
  </mergeCell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sheetPr>
    <tabColor rgb="FF7030A0"/>
  </sheetPr>
  <dimension ref="A1:S31"/>
  <sheetViews>
    <sheetView workbookViewId="0" topLeftCell="A1">
      <selection activeCell="A1" sqref="A1:E22"/>
    </sheetView>
  </sheetViews>
  <sheetFormatPr defaultColWidth="8.8515625" defaultRowHeight="12.75"/>
  <cols>
    <col min="1" max="1" width="12.421875" style="0" customWidth="1"/>
    <col min="2" max="2" width="12.00390625" style="0" customWidth="1"/>
    <col min="3" max="3" width="10.28125" style="0" customWidth="1"/>
    <col min="4" max="4" width="13.421875" style="0" customWidth="1"/>
    <col min="5" max="5" width="10.421875" style="0" customWidth="1"/>
    <col min="6" max="6" width="12.140625" style="0" customWidth="1"/>
    <col min="7" max="7" width="10.421875" style="0" customWidth="1"/>
    <col min="8" max="8" width="11.140625" style="0" customWidth="1"/>
    <col min="9" max="9" width="12.00390625" style="0" customWidth="1"/>
    <col min="10" max="10" width="11.00390625" style="0" customWidth="1"/>
  </cols>
  <sheetData>
    <row r="1" spans="1:9" ht="15">
      <c r="A1" s="300" t="s">
        <v>378</v>
      </c>
      <c r="B1" s="43"/>
      <c r="C1" s="43"/>
      <c r="D1" s="43"/>
      <c r="E1" s="43"/>
      <c r="F1" s="43"/>
      <c r="G1" s="43"/>
      <c r="H1" s="43"/>
      <c r="I1" s="43"/>
    </row>
    <row r="2" spans="2:9" ht="12">
      <c r="B2" s="43"/>
      <c r="C2" s="43"/>
      <c r="D2" s="43"/>
      <c r="E2" s="43"/>
      <c r="F2" s="43"/>
      <c r="G2" s="43"/>
      <c r="H2" s="43"/>
      <c r="I2" s="43"/>
    </row>
    <row r="3" spans="1:9" ht="12">
      <c r="A3" s="301" t="s">
        <v>305</v>
      </c>
      <c r="B3" s="314"/>
      <c r="C3" s="314"/>
      <c r="D3" s="315">
        <f>Assumptions!G8</f>
        <v>15300</v>
      </c>
      <c r="E3" s="302" t="s">
        <v>306</v>
      </c>
      <c r="F3" s="280"/>
      <c r="G3" s="43"/>
      <c r="H3" s="43"/>
      <c r="I3" s="43"/>
    </row>
    <row r="4" spans="1:9" ht="12">
      <c r="A4" s="301"/>
      <c r="B4" s="314"/>
      <c r="C4" s="314"/>
      <c r="D4" s="315"/>
      <c r="E4" s="302"/>
      <c r="F4" s="280"/>
      <c r="G4" s="43"/>
      <c r="H4" s="43"/>
      <c r="I4" s="43"/>
    </row>
    <row r="5" spans="1:9" ht="12">
      <c r="A5" s="242"/>
      <c r="B5" s="311" t="s">
        <v>303</v>
      </c>
      <c r="C5" s="316">
        <f>Assumptions!G18</f>
        <v>0.4</v>
      </c>
      <c r="D5" s="317">
        <f>Assumptions!H18</f>
        <v>6120</v>
      </c>
      <c r="E5" s="311" t="s">
        <v>306</v>
      </c>
      <c r="F5" s="280"/>
      <c r="G5" s="43"/>
      <c r="H5" s="43"/>
      <c r="I5" s="43"/>
    </row>
    <row r="6" spans="1:10" ht="12">
      <c r="A6" s="232"/>
      <c r="B6" s="309" t="s">
        <v>304</v>
      </c>
      <c r="C6" s="318">
        <f>Assumptions!G22</f>
        <v>0.6</v>
      </c>
      <c r="D6" s="317">
        <f>Assumptions!H22</f>
        <v>9180</v>
      </c>
      <c r="E6" s="311" t="s">
        <v>306</v>
      </c>
      <c r="F6" s="48"/>
      <c r="G6" s="57"/>
      <c r="H6" s="57"/>
      <c r="I6" s="57"/>
      <c r="J6" s="57"/>
    </row>
    <row r="7" spans="1:11" ht="12">
      <c r="A7" s="232"/>
      <c r="B7" s="309"/>
      <c r="C7" s="309"/>
      <c r="D7" s="309"/>
      <c r="E7" s="309"/>
      <c r="F7" s="48"/>
      <c r="G7" s="57"/>
      <c r="H7" s="57"/>
      <c r="I7" s="57"/>
      <c r="J7" s="57"/>
      <c r="K7" s="57"/>
    </row>
    <row r="8" spans="1:11" ht="12">
      <c r="A8" s="293" t="s">
        <v>307</v>
      </c>
      <c r="B8" s="307"/>
      <c r="C8" s="307"/>
      <c r="D8" s="294"/>
      <c r="E8" s="294"/>
      <c r="F8" s="57"/>
      <c r="G8" s="57"/>
      <c r="H8" s="57"/>
      <c r="I8" s="57"/>
      <c r="J8" s="57"/>
      <c r="K8" s="57"/>
    </row>
    <row r="9" spans="1:10" ht="12">
      <c r="A9" s="294"/>
      <c r="B9" s="312" t="s">
        <v>303</v>
      </c>
      <c r="C9" s="307"/>
      <c r="D9" s="313">
        <f>Assumptions!G20</f>
        <v>1.6666666666666667</v>
      </c>
      <c r="E9" s="312" t="s">
        <v>76</v>
      </c>
      <c r="F9" s="57"/>
      <c r="G9" s="57"/>
      <c r="H9" s="57"/>
      <c r="I9" s="57"/>
      <c r="J9" s="57"/>
    </row>
    <row r="10" spans="1:10" ht="12">
      <c r="A10" s="294"/>
      <c r="B10" s="307" t="s">
        <v>304</v>
      </c>
      <c r="C10" s="307"/>
      <c r="D10" s="313">
        <f>Assumptions!G24</f>
        <v>2</v>
      </c>
      <c r="E10" s="312" t="s">
        <v>76</v>
      </c>
      <c r="F10" s="57"/>
      <c r="G10" s="57"/>
      <c r="H10" s="57"/>
      <c r="I10" s="57"/>
      <c r="J10" s="57"/>
    </row>
    <row r="11" spans="1:10" ht="12">
      <c r="A11" s="294"/>
      <c r="B11" s="307"/>
      <c r="C11" s="307"/>
      <c r="D11" s="294"/>
      <c r="E11" s="294"/>
      <c r="F11" s="57"/>
      <c r="G11" s="57"/>
      <c r="H11" s="57"/>
      <c r="I11" s="57"/>
      <c r="J11" s="57"/>
    </row>
    <row r="12" spans="1:10" ht="12">
      <c r="A12" s="308" t="s">
        <v>308</v>
      </c>
      <c r="B12" s="309"/>
      <c r="C12" s="309"/>
      <c r="D12" s="310">
        <f>(D9*D5)+(D10*D6)</f>
        <v>28560</v>
      </c>
      <c r="E12" s="302" t="s">
        <v>309</v>
      </c>
      <c r="F12" s="57"/>
      <c r="G12" s="57"/>
      <c r="H12" s="57"/>
      <c r="I12" s="57"/>
      <c r="J12" s="57"/>
    </row>
    <row r="13" spans="1:10" ht="12">
      <c r="A13" s="232"/>
      <c r="B13" s="309"/>
      <c r="C13" s="309"/>
      <c r="D13" s="232"/>
      <c r="E13" s="232"/>
      <c r="F13" s="57"/>
      <c r="G13" s="57"/>
      <c r="H13" s="57"/>
      <c r="I13" s="57"/>
      <c r="J13" s="57"/>
    </row>
    <row r="14" spans="1:18" ht="12">
      <c r="A14" s="303" t="s">
        <v>310</v>
      </c>
      <c r="B14" s="245"/>
      <c r="C14" s="245"/>
      <c r="D14" s="304">
        <f>ProductionSequence!P217</f>
        <v>17460.066806999996</v>
      </c>
      <c r="E14" s="305" t="s">
        <v>309</v>
      </c>
      <c r="M14" s="120"/>
      <c r="N14" s="161"/>
      <c r="O14" s="161"/>
      <c r="P14" s="120"/>
      <c r="Q14" s="162"/>
      <c r="R14" s="120"/>
    </row>
    <row r="15" spans="1:18" ht="12">
      <c r="A15" s="303"/>
      <c r="B15" s="245"/>
      <c r="C15" s="245"/>
      <c r="D15" s="304"/>
      <c r="E15" s="305"/>
      <c r="M15" s="120"/>
      <c r="N15" s="161"/>
      <c r="O15" s="161"/>
      <c r="P15" s="120"/>
      <c r="Q15" s="162"/>
      <c r="R15" s="120"/>
    </row>
    <row r="16" spans="1:18" ht="12">
      <c r="A16" s="245"/>
      <c r="B16" s="59" t="s">
        <v>36</v>
      </c>
      <c r="C16" s="245"/>
      <c r="D16" s="306">
        <f>ProductionSequence!H209</f>
        <v>1815.8120570000006</v>
      </c>
      <c r="E16" s="59" t="s">
        <v>309</v>
      </c>
      <c r="M16" s="120"/>
      <c r="N16" s="161"/>
      <c r="O16" s="161"/>
      <c r="P16" s="120"/>
      <c r="Q16" s="162"/>
      <c r="R16" s="120"/>
    </row>
    <row r="17" spans="1:18" ht="12">
      <c r="A17" s="245"/>
      <c r="B17" s="59" t="s">
        <v>37</v>
      </c>
      <c r="C17" s="245"/>
      <c r="D17" s="306">
        <f>ProductionSequence!L209</f>
        <v>8397.622000000001</v>
      </c>
      <c r="E17" s="59" t="s">
        <v>309</v>
      </c>
      <c r="M17" s="120"/>
      <c r="N17" s="161"/>
      <c r="O17" s="120"/>
      <c r="P17" s="120"/>
      <c r="Q17" s="162"/>
      <c r="R17" s="120"/>
    </row>
    <row r="18" spans="1:18" ht="12">
      <c r="A18" s="245"/>
      <c r="B18" s="59" t="s">
        <v>38</v>
      </c>
      <c r="C18" s="245"/>
      <c r="D18" s="306">
        <f>ProductionSequence!O209</f>
        <v>7105.632749999999</v>
      </c>
      <c r="E18" s="59" t="s">
        <v>309</v>
      </c>
      <c r="M18" s="120"/>
      <c r="N18" s="161"/>
      <c r="O18" s="120"/>
      <c r="P18" s="120"/>
      <c r="Q18" s="162"/>
      <c r="R18" s="120"/>
    </row>
    <row r="19" spans="1:18" ht="12">
      <c r="A19" s="245"/>
      <c r="B19" s="59" t="s">
        <v>311</v>
      </c>
      <c r="C19" s="245"/>
      <c r="D19" s="306">
        <f>ProductionSequence!L215</f>
        <v>141</v>
      </c>
      <c r="E19" s="59" t="s">
        <v>309</v>
      </c>
      <c r="M19" s="120"/>
      <c r="N19" s="161"/>
      <c r="O19" s="120"/>
      <c r="P19" s="120"/>
      <c r="Q19" s="162"/>
      <c r="R19" s="120"/>
    </row>
    <row r="20" spans="1:18" ht="12">
      <c r="A20" s="245"/>
      <c r="B20" s="245"/>
      <c r="C20" s="245"/>
      <c r="D20" s="245"/>
      <c r="E20" s="245"/>
      <c r="M20" s="120"/>
      <c r="N20" s="161"/>
      <c r="O20" s="161"/>
      <c r="P20" s="120"/>
      <c r="Q20" s="162"/>
      <c r="R20" s="120"/>
    </row>
    <row r="21" spans="1:18" ht="12">
      <c r="A21" s="319"/>
      <c r="B21" s="319"/>
      <c r="C21" s="319"/>
      <c r="D21" s="319"/>
      <c r="E21" s="319"/>
      <c r="M21" s="120"/>
      <c r="N21" s="161"/>
      <c r="O21" s="161"/>
      <c r="P21" s="120"/>
      <c r="Q21" s="162"/>
      <c r="R21" s="120"/>
    </row>
    <row r="22" spans="1:18" ht="12">
      <c r="A22" s="320" t="s">
        <v>312</v>
      </c>
      <c r="B22" s="321"/>
      <c r="C22" s="321"/>
      <c r="D22" s="322">
        <f>D12-D14</f>
        <v>11099.933193000004</v>
      </c>
      <c r="E22" s="323" t="s">
        <v>309</v>
      </c>
      <c r="M22" s="120"/>
      <c r="N22" s="120"/>
      <c r="O22" s="120"/>
      <c r="P22" s="120"/>
      <c r="Q22" s="120"/>
      <c r="R22" s="120"/>
    </row>
    <row r="23" spans="13:18" ht="12">
      <c r="M23" s="120"/>
      <c r="N23" s="120"/>
      <c r="O23" s="120"/>
      <c r="P23" s="120"/>
      <c r="Q23" s="120"/>
      <c r="R23" s="120"/>
    </row>
    <row r="24" spans="13:19" ht="12">
      <c r="M24" s="120"/>
      <c r="N24" s="161"/>
      <c r="O24" s="161"/>
      <c r="P24" s="161"/>
      <c r="Q24" s="161"/>
      <c r="R24" s="161"/>
      <c r="S24" s="61"/>
    </row>
    <row r="25" spans="13:19" ht="12">
      <c r="M25" s="120"/>
      <c r="N25" s="161"/>
      <c r="O25" s="161"/>
      <c r="P25" s="161"/>
      <c r="Q25" s="161"/>
      <c r="R25" s="161"/>
      <c r="S25" s="61"/>
    </row>
    <row r="26" spans="13:19" ht="12">
      <c r="M26" s="120"/>
      <c r="N26" s="161"/>
      <c r="O26" s="161"/>
      <c r="P26" s="161"/>
      <c r="Q26" s="161"/>
      <c r="R26" s="163"/>
      <c r="S26" s="5"/>
    </row>
    <row r="27" spans="13:19" ht="12">
      <c r="M27" s="120"/>
      <c r="N27" s="161"/>
      <c r="O27" s="161"/>
      <c r="P27" s="161"/>
      <c r="Q27" s="164"/>
      <c r="R27" s="163"/>
      <c r="S27" s="5"/>
    </row>
    <row r="28" spans="13:19" ht="12">
      <c r="M28" s="120"/>
      <c r="N28" s="161"/>
      <c r="O28" s="161"/>
      <c r="P28" s="161"/>
      <c r="Q28" s="164"/>
      <c r="R28" s="163"/>
      <c r="S28" s="5"/>
    </row>
    <row r="29" spans="13:19" ht="12">
      <c r="M29" s="120"/>
      <c r="N29" s="161"/>
      <c r="O29" s="161"/>
      <c r="P29" s="161"/>
      <c r="Q29" s="161"/>
      <c r="R29" s="163"/>
      <c r="S29" s="5"/>
    </row>
    <row r="30" spans="13:19" ht="12">
      <c r="M30" s="120"/>
      <c r="N30" s="120"/>
      <c r="O30" s="120"/>
      <c r="P30" s="120"/>
      <c r="Q30" s="165"/>
      <c r="R30" s="120"/>
      <c r="S30" s="66"/>
    </row>
    <row r="31" spans="13:18" ht="12">
      <c r="M31" s="120"/>
      <c r="N31" s="120"/>
      <c r="O31" s="120"/>
      <c r="P31" s="120"/>
      <c r="Q31" s="120"/>
      <c r="R31" s="120"/>
    </row>
  </sheetData>
  <sheetProtection password="ECAF" sheet="1" selectLockedCells="1"/>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sheetPr>
    <tabColor rgb="FFFF0000"/>
  </sheetPr>
  <dimension ref="A1:W35"/>
  <sheetViews>
    <sheetView zoomScaleSheetLayoutView="100" workbookViewId="0" topLeftCell="A1">
      <selection activeCell="E14" sqref="E14"/>
    </sheetView>
  </sheetViews>
  <sheetFormatPr defaultColWidth="8.8515625" defaultRowHeight="12.75"/>
  <cols>
    <col min="1" max="1" width="23.28125" style="0" customWidth="1"/>
    <col min="2" max="2" width="12.28125" style="0" customWidth="1"/>
    <col min="3" max="6" width="9.28125" style="0" bestFit="1" customWidth="1"/>
    <col min="7" max="7" width="9.28125" style="0" hidden="1" customWidth="1"/>
    <col min="8" max="10" width="10.7109375" style="0" customWidth="1"/>
    <col min="11" max="11" width="9.28125" style="0" bestFit="1" customWidth="1"/>
    <col min="12" max="12" width="10.421875" style="0" customWidth="1"/>
    <col min="13" max="13" width="11.140625" style="0" bestFit="1" customWidth="1"/>
    <col min="14" max="14" width="12.28125" style="0" customWidth="1"/>
    <col min="15" max="15" width="12.140625" style="0" customWidth="1"/>
    <col min="16" max="16" width="11.8515625" style="0" customWidth="1"/>
    <col min="17" max="17" width="12.7109375" style="0" customWidth="1"/>
    <col min="18" max="18" width="24.7109375" style="0" customWidth="1"/>
  </cols>
  <sheetData>
    <row r="1" spans="1:17" ht="12">
      <c r="A1" s="14" t="s">
        <v>379</v>
      </c>
      <c r="B1" s="14"/>
      <c r="C1" s="15"/>
      <c r="D1" s="15"/>
      <c r="E1" s="8"/>
      <c r="F1" s="8"/>
      <c r="G1" s="9"/>
      <c r="H1" s="9"/>
      <c r="I1" s="9"/>
      <c r="J1" s="9"/>
      <c r="K1" s="9"/>
      <c r="L1" s="9"/>
      <c r="M1" s="9"/>
      <c r="N1" s="10"/>
      <c r="O1" s="10"/>
      <c r="P1" s="10"/>
      <c r="Q1" s="10"/>
    </row>
    <row r="2" spans="1:21" ht="12.75" thickBot="1">
      <c r="A2" s="121"/>
      <c r="B2" s="16"/>
      <c r="C2" s="17"/>
      <c r="D2" s="17"/>
      <c r="E2" s="17"/>
      <c r="F2" s="17"/>
      <c r="G2" s="18"/>
      <c r="H2" s="18"/>
      <c r="I2" s="18"/>
      <c r="J2" s="18"/>
      <c r="K2" s="18"/>
      <c r="L2" s="18"/>
      <c r="M2" s="18"/>
      <c r="N2" s="19"/>
      <c r="O2" s="19"/>
      <c r="P2" s="19"/>
      <c r="Q2" s="19"/>
      <c r="S2" s="382" t="s">
        <v>2</v>
      </c>
      <c r="T2" s="383"/>
      <c r="U2" s="383"/>
    </row>
    <row r="3" spans="1:21" ht="36.75" customHeight="1" thickBot="1" thickTop="1">
      <c r="A3" s="76" t="s">
        <v>43</v>
      </c>
      <c r="B3" s="107"/>
      <c r="C3" s="105" t="s">
        <v>44</v>
      </c>
      <c r="D3" s="105" t="s">
        <v>45</v>
      </c>
      <c r="E3" s="105" t="s">
        <v>46</v>
      </c>
      <c r="F3" s="77" t="s">
        <v>75</v>
      </c>
      <c r="G3" s="77" t="s">
        <v>47</v>
      </c>
      <c r="H3" s="110" t="s">
        <v>88</v>
      </c>
      <c r="I3" s="105" t="s">
        <v>85</v>
      </c>
      <c r="J3" s="105" t="s">
        <v>49</v>
      </c>
      <c r="K3" s="105" t="s">
        <v>48</v>
      </c>
      <c r="L3" s="105" t="s">
        <v>18</v>
      </c>
      <c r="M3" s="105" t="s">
        <v>50</v>
      </c>
      <c r="N3" s="105" t="s">
        <v>90</v>
      </c>
      <c r="O3" s="105" t="s">
        <v>89</v>
      </c>
      <c r="P3" s="105" t="s">
        <v>51</v>
      </c>
      <c r="Q3" s="106" t="s">
        <v>91</v>
      </c>
      <c r="R3" s="80" t="s">
        <v>43</v>
      </c>
      <c r="S3" s="103" t="s">
        <v>86</v>
      </c>
      <c r="T3" s="103" t="s">
        <v>87</v>
      </c>
      <c r="U3" s="104" t="s">
        <v>92</v>
      </c>
    </row>
    <row r="4" spans="1:22" ht="13.5" thickBot="1" thickTop="1">
      <c r="A4" s="69" t="s">
        <v>52</v>
      </c>
      <c r="B4" s="82" t="s">
        <v>53</v>
      </c>
      <c r="C4" s="356">
        <v>12500</v>
      </c>
      <c r="D4" s="83">
        <f>C4*0.22</f>
        <v>2750</v>
      </c>
      <c r="E4" s="359">
        <v>20</v>
      </c>
      <c r="F4" s="359">
        <v>500</v>
      </c>
      <c r="G4" s="67">
        <f aca="true" t="shared" si="0" ref="G4:H19">($C4-$D4)/$E4</f>
        <v>487.5</v>
      </c>
      <c r="H4" s="108">
        <f>($C4-$D4)/$E4</f>
        <v>487.5</v>
      </c>
      <c r="I4" s="109">
        <f aca="true" t="shared" si="1" ref="I4:I19">D4*0.09+H4*0.05</f>
        <v>271.875</v>
      </c>
      <c r="J4" s="83">
        <f>($C4+$D4)/2*Assumptions!G37</f>
        <v>381.25</v>
      </c>
      <c r="K4" s="83">
        <f>($C4+$D4)/2*Assumptions!G38</f>
        <v>76.25</v>
      </c>
      <c r="L4" s="83">
        <f>($C4+$D4)/2*Assumptions!G39</f>
        <v>76.25</v>
      </c>
      <c r="M4" s="83">
        <f>H4+J4+K4+L4</f>
        <v>1021.25</v>
      </c>
      <c r="N4" s="90">
        <f>(0.4*C4)/E4</f>
        <v>250</v>
      </c>
      <c r="O4" s="91">
        <f>(Assumptions!C44*Assumptions!B44*F4)+((Assumptions!C44*Assumptions!B44*F4)*Assumptions!D44)</f>
        <v>2677.5</v>
      </c>
      <c r="P4" s="96">
        <f>SUM($N4:$O4)</f>
        <v>2927.5</v>
      </c>
      <c r="Q4" s="99">
        <f aca="true" t="shared" si="2" ref="Q4:Q19">$M4+$P4</f>
        <v>3948.75</v>
      </c>
      <c r="R4" s="69" t="str">
        <f>A4</f>
        <v>Tractor, 30hp</v>
      </c>
      <c r="S4" s="98">
        <f aca="true" t="shared" si="3" ref="S4:S19">(M4)/F4</f>
        <v>2.0425</v>
      </c>
      <c r="T4" s="73">
        <f aca="true" t="shared" si="4" ref="T4:T19">(P4)/F4</f>
        <v>5.855</v>
      </c>
      <c r="U4" s="68">
        <f aca="true" t="shared" si="5" ref="U4:U19">S4+T4</f>
        <v>7.897500000000001</v>
      </c>
      <c r="V4" s="12"/>
    </row>
    <row r="5" spans="1:22" ht="13.5" thickBot="1" thickTop="1">
      <c r="A5" s="71" t="s">
        <v>54</v>
      </c>
      <c r="B5" s="85" t="s">
        <v>55</v>
      </c>
      <c r="C5" s="357">
        <v>24400</v>
      </c>
      <c r="D5" s="83">
        <f>C5*0.22</f>
        <v>5368</v>
      </c>
      <c r="E5" s="360">
        <v>20</v>
      </c>
      <c r="F5" s="360">
        <v>500</v>
      </c>
      <c r="G5" s="70">
        <f t="shared" si="0"/>
        <v>951.6</v>
      </c>
      <c r="H5" s="75">
        <f t="shared" si="0"/>
        <v>951.6</v>
      </c>
      <c r="I5" s="88">
        <f t="shared" si="1"/>
        <v>530.7</v>
      </c>
      <c r="J5" s="86">
        <f>($C5+$D5)/2*Assumptions!G37</f>
        <v>744.2</v>
      </c>
      <c r="K5" s="86">
        <f>($C5+$D5)/2*Assumptions!G38</f>
        <v>148.84</v>
      </c>
      <c r="L5" s="86">
        <f>($C5+$D5)/2*Assumptions!G39</f>
        <v>148.84</v>
      </c>
      <c r="M5" s="86">
        <f>H5+J5+K5+L5</f>
        <v>1993.48</v>
      </c>
      <c r="N5" s="92">
        <f>(0.4*C5)/E5</f>
        <v>488</v>
      </c>
      <c r="O5" s="93">
        <f>(Assumptions!C45*Assumptions!B45*F5)+((Assumptions!C45*Assumptions!B45*F5)*Assumptions!D45)</f>
        <v>4462.5</v>
      </c>
      <c r="P5" s="100">
        <f aca="true" t="shared" si="6" ref="P5:P17">SUM($N5:$O5)</f>
        <v>4950.5</v>
      </c>
      <c r="Q5" s="101">
        <f t="shared" si="2"/>
        <v>6943.98</v>
      </c>
      <c r="R5" s="71" t="str">
        <f>A5</f>
        <v>Tractor, 60hp</v>
      </c>
      <c r="S5" s="102">
        <f t="shared" si="3"/>
        <v>3.98696</v>
      </c>
      <c r="T5" s="73">
        <f t="shared" si="4"/>
        <v>9.901</v>
      </c>
      <c r="U5" s="81">
        <f t="shared" si="5"/>
        <v>13.88796</v>
      </c>
      <c r="V5" s="12"/>
    </row>
    <row r="6" spans="1:22" ht="13.5" thickBot="1" thickTop="1">
      <c r="A6" s="71" t="s">
        <v>324</v>
      </c>
      <c r="B6" s="85"/>
      <c r="C6" s="357">
        <v>3500</v>
      </c>
      <c r="D6" s="83">
        <f>C6*0.22</f>
        <v>770</v>
      </c>
      <c r="E6" s="360">
        <v>20</v>
      </c>
      <c r="F6" s="360">
        <v>100</v>
      </c>
      <c r="G6" s="70">
        <f t="shared" si="0"/>
        <v>136.5</v>
      </c>
      <c r="H6" s="75">
        <f t="shared" si="0"/>
        <v>136.5</v>
      </c>
      <c r="I6" s="88">
        <f t="shared" si="1"/>
        <v>76.125</v>
      </c>
      <c r="J6" s="86">
        <f>($C6+$D6)/2*Assumptions!G37</f>
        <v>106.75</v>
      </c>
      <c r="K6" s="86">
        <f>($C6+$D6)/2*Assumptions!G38</f>
        <v>21.35</v>
      </c>
      <c r="L6" s="86">
        <f>($C6+$D6)/2*Assumptions!G39</f>
        <v>21.35</v>
      </c>
      <c r="M6" s="86">
        <f>H6+J6+K6+L6</f>
        <v>285.95000000000005</v>
      </c>
      <c r="N6" s="92">
        <f>(0.4*C6)/E6</f>
        <v>70</v>
      </c>
      <c r="O6" s="93">
        <v>0</v>
      </c>
      <c r="P6" s="100">
        <f t="shared" si="6"/>
        <v>70</v>
      </c>
      <c r="Q6" s="101">
        <f t="shared" si="2"/>
        <v>355.95000000000005</v>
      </c>
      <c r="R6" s="71" t="str">
        <f>A6</f>
        <v>Compost spreader</v>
      </c>
      <c r="S6" s="102">
        <f t="shared" si="3"/>
        <v>2.8595000000000006</v>
      </c>
      <c r="T6" s="73">
        <f t="shared" si="4"/>
        <v>0.7</v>
      </c>
      <c r="U6" s="81">
        <f t="shared" si="5"/>
        <v>3.5595000000000008</v>
      </c>
      <c r="V6" s="12"/>
    </row>
    <row r="7" spans="1:22" ht="12.75" thickTop="1">
      <c r="A7" s="71" t="s">
        <v>392</v>
      </c>
      <c r="B7" s="85"/>
      <c r="C7" s="357">
        <v>2600</v>
      </c>
      <c r="D7" s="83">
        <f>C7*0.22</f>
        <v>572</v>
      </c>
      <c r="E7" s="360">
        <v>12</v>
      </c>
      <c r="F7" s="360">
        <v>125</v>
      </c>
      <c r="G7" s="70">
        <f t="shared" si="0"/>
        <v>169</v>
      </c>
      <c r="H7" s="75">
        <f t="shared" si="0"/>
        <v>169</v>
      </c>
      <c r="I7" s="88">
        <f t="shared" si="1"/>
        <v>59.93</v>
      </c>
      <c r="J7" s="86">
        <f>($C7+$D7)/2*Assumptions!G37</f>
        <v>79.30000000000001</v>
      </c>
      <c r="K7" s="86">
        <f>($C7+$D7)/2*Assumptions!G38</f>
        <v>15.860000000000001</v>
      </c>
      <c r="L7" s="86">
        <f>($C7+$D7)/2*Assumptions!G39</f>
        <v>15.860000000000001</v>
      </c>
      <c r="M7" s="86">
        <f>H7+J7+K7+L7</f>
        <v>280.02000000000004</v>
      </c>
      <c r="N7" s="92">
        <f>(0.4*C7)/E7</f>
        <v>86.66666666666667</v>
      </c>
      <c r="O7" s="93">
        <v>0</v>
      </c>
      <c r="P7" s="100">
        <f t="shared" si="6"/>
        <v>86.66666666666667</v>
      </c>
      <c r="Q7" s="101">
        <f t="shared" si="2"/>
        <v>366.6866666666667</v>
      </c>
      <c r="R7" s="71" t="str">
        <f>A7</f>
        <v>Mower</v>
      </c>
      <c r="S7" s="102">
        <f t="shared" si="3"/>
        <v>2.2401600000000004</v>
      </c>
      <c r="T7" s="73">
        <f t="shared" si="4"/>
        <v>0.6933333333333334</v>
      </c>
      <c r="U7" s="81">
        <f t="shared" si="5"/>
        <v>2.9334933333333337</v>
      </c>
      <c r="V7" s="12"/>
    </row>
    <row r="8" spans="1:22" ht="12.75" thickBot="1">
      <c r="A8" s="71" t="s">
        <v>341</v>
      </c>
      <c r="B8" s="85"/>
      <c r="C8" s="357">
        <v>10</v>
      </c>
      <c r="D8" s="86">
        <v>0</v>
      </c>
      <c r="E8" s="360">
        <v>3</v>
      </c>
      <c r="F8" s="360">
        <v>10</v>
      </c>
      <c r="G8" s="70">
        <f t="shared" si="0"/>
        <v>3.3333333333333335</v>
      </c>
      <c r="H8" s="75">
        <f t="shared" si="0"/>
        <v>3.3333333333333335</v>
      </c>
      <c r="I8" s="88">
        <f t="shared" si="1"/>
        <v>0.16666666666666669</v>
      </c>
      <c r="J8" s="86">
        <f>($C8+$D8)/2*Assumptions!G37</f>
        <v>0.25</v>
      </c>
      <c r="K8" s="86">
        <f>($C8+$D8)/2*Assumptions!G38</f>
        <v>0.05</v>
      </c>
      <c r="L8" s="86">
        <f>($C8+$D8)/2*Assumptions!G39</f>
        <v>0.05</v>
      </c>
      <c r="M8" s="86">
        <f>H8+J8+K8+L8</f>
        <v>3.683333333333333</v>
      </c>
      <c r="N8" s="92">
        <f>(0.4*C8)/E8</f>
        <v>1.3333333333333333</v>
      </c>
      <c r="O8" s="93">
        <v>0</v>
      </c>
      <c r="P8" s="100">
        <f t="shared" si="6"/>
        <v>1.3333333333333333</v>
      </c>
      <c r="Q8" s="101">
        <f t="shared" si="2"/>
        <v>5.016666666666667</v>
      </c>
      <c r="R8" s="71" t="str">
        <f>A8</f>
        <v>Hand sprayer</v>
      </c>
      <c r="S8" s="102">
        <f t="shared" si="3"/>
        <v>0.3683333333333333</v>
      </c>
      <c r="T8" s="73">
        <f t="shared" si="4"/>
        <v>0.13333333333333333</v>
      </c>
      <c r="U8" s="81">
        <f t="shared" si="5"/>
        <v>0.5016666666666666</v>
      </c>
      <c r="V8" s="12"/>
    </row>
    <row r="9" spans="1:22" ht="13.5" thickBot="1" thickTop="1">
      <c r="A9" s="71" t="s">
        <v>234</v>
      </c>
      <c r="B9" s="85" t="s">
        <v>62</v>
      </c>
      <c r="C9" s="357">
        <v>6000</v>
      </c>
      <c r="D9" s="83">
        <f aca="true" t="shared" si="7" ref="D9:D16">C9*0.22</f>
        <v>1320</v>
      </c>
      <c r="E9" s="360">
        <v>12</v>
      </c>
      <c r="F9" s="360">
        <v>125</v>
      </c>
      <c r="G9" s="70">
        <f t="shared" si="0"/>
        <v>390</v>
      </c>
      <c r="H9" s="75">
        <f t="shared" si="0"/>
        <v>390</v>
      </c>
      <c r="I9" s="88">
        <f t="shared" si="1"/>
        <v>138.3</v>
      </c>
      <c r="J9" s="86">
        <f>($C9+$D9)/2*Assumptions!G37</f>
        <v>183</v>
      </c>
      <c r="K9" s="86">
        <f>($C9+$D9)/2*Assumptions!G38</f>
        <v>36.6</v>
      </c>
      <c r="L9" s="86">
        <f>($C9+$D9)/2*Assumptions!G39</f>
        <v>36.6</v>
      </c>
      <c r="M9" s="86">
        <f aca="true" t="shared" si="8" ref="M9:M19">H9+J9+K9+L9</f>
        <v>646.2</v>
      </c>
      <c r="N9" s="92">
        <f aca="true" t="shared" si="9" ref="N9:N19">(0.4*C9)/E9</f>
        <v>200</v>
      </c>
      <c r="O9" s="93">
        <v>0</v>
      </c>
      <c r="P9" s="100">
        <f t="shared" si="6"/>
        <v>200</v>
      </c>
      <c r="Q9" s="101">
        <f t="shared" si="2"/>
        <v>846.2</v>
      </c>
      <c r="R9" s="71" t="str">
        <f aca="true" t="shared" si="10" ref="R9:R19">A9</f>
        <v>PTO Blast Sprayer</v>
      </c>
      <c r="S9" s="102">
        <f t="shared" si="3"/>
        <v>5.1696</v>
      </c>
      <c r="T9" s="73">
        <f t="shared" si="4"/>
        <v>1.6</v>
      </c>
      <c r="U9" s="81">
        <f t="shared" si="5"/>
        <v>6.7696000000000005</v>
      </c>
      <c r="V9" s="12"/>
    </row>
    <row r="10" spans="1:22" ht="13.5" thickBot="1" thickTop="1">
      <c r="A10" s="71" t="s">
        <v>116</v>
      </c>
      <c r="B10" s="85" t="s">
        <v>2</v>
      </c>
      <c r="C10" s="357">
        <v>2000</v>
      </c>
      <c r="D10" s="83">
        <f t="shared" si="7"/>
        <v>440</v>
      </c>
      <c r="E10" s="360">
        <v>15</v>
      </c>
      <c r="F10" s="361">
        <v>75</v>
      </c>
      <c r="G10" s="70">
        <f t="shared" si="0"/>
        <v>104</v>
      </c>
      <c r="H10" s="75">
        <f t="shared" si="0"/>
        <v>104</v>
      </c>
      <c r="I10" s="88">
        <f t="shared" si="1"/>
        <v>44.800000000000004</v>
      </c>
      <c r="J10" s="86">
        <f>($C10+$D10)/2*Assumptions!G37</f>
        <v>61</v>
      </c>
      <c r="K10" s="86">
        <f>($C10+$D10)/2*Assumptions!G38</f>
        <v>12.200000000000001</v>
      </c>
      <c r="L10" s="86">
        <f>($C10+$D10)/2*Assumptions!G39</f>
        <v>12.200000000000001</v>
      </c>
      <c r="M10" s="86">
        <f t="shared" si="8"/>
        <v>189.39999999999998</v>
      </c>
      <c r="N10" s="92">
        <f t="shared" si="9"/>
        <v>53.333333333333336</v>
      </c>
      <c r="O10" s="93">
        <v>0</v>
      </c>
      <c r="P10" s="100">
        <f t="shared" si="6"/>
        <v>53.333333333333336</v>
      </c>
      <c r="Q10" s="101">
        <f t="shared" si="2"/>
        <v>242.73333333333332</v>
      </c>
      <c r="R10" s="71" t="str">
        <f t="shared" si="10"/>
        <v>Plastic Mulch Lifter</v>
      </c>
      <c r="S10" s="102">
        <f t="shared" si="3"/>
        <v>2.525333333333333</v>
      </c>
      <c r="T10" s="73">
        <f t="shared" si="4"/>
        <v>0.7111111111111111</v>
      </c>
      <c r="U10" s="81">
        <f t="shared" si="5"/>
        <v>3.2364444444444445</v>
      </c>
      <c r="V10" s="48"/>
    </row>
    <row r="11" spans="1:22" ht="13.5" thickBot="1" thickTop="1">
      <c r="A11" s="71" t="s">
        <v>56</v>
      </c>
      <c r="B11" s="85" t="s">
        <v>61</v>
      </c>
      <c r="C11" s="357">
        <v>5000</v>
      </c>
      <c r="D11" s="83">
        <f t="shared" si="7"/>
        <v>1100</v>
      </c>
      <c r="E11" s="360">
        <v>15</v>
      </c>
      <c r="F11" s="360">
        <v>125</v>
      </c>
      <c r="G11" s="70">
        <f aca="true" t="shared" si="11" ref="G11:G17">($C11-$D11)/$E11</f>
        <v>260</v>
      </c>
      <c r="H11" s="75">
        <f t="shared" si="0"/>
        <v>260</v>
      </c>
      <c r="I11" s="88">
        <f t="shared" si="1"/>
        <v>112</v>
      </c>
      <c r="J11" s="86">
        <f>($C11+$D11)/2*Assumptions!G37</f>
        <v>152.5</v>
      </c>
      <c r="K11" s="86">
        <f>($C11+$D11)/2*Assumptions!G38</f>
        <v>30.5</v>
      </c>
      <c r="L11" s="86">
        <f>($C11+$D11)/2*Assumptions!G39</f>
        <v>30.5</v>
      </c>
      <c r="M11" s="86">
        <f t="shared" si="8"/>
        <v>473.5</v>
      </c>
      <c r="N11" s="92">
        <f t="shared" si="9"/>
        <v>133.33333333333334</v>
      </c>
      <c r="O11" s="93">
        <v>0</v>
      </c>
      <c r="P11" s="100">
        <f t="shared" si="6"/>
        <v>133.33333333333334</v>
      </c>
      <c r="Q11" s="101">
        <f t="shared" si="2"/>
        <v>606.8333333333334</v>
      </c>
      <c r="R11" s="71" t="str">
        <f t="shared" si="10"/>
        <v>9' Disc</v>
      </c>
      <c r="S11" s="102">
        <f t="shared" si="3"/>
        <v>3.788</v>
      </c>
      <c r="T11" s="73">
        <f t="shared" si="4"/>
        <v>1.0666666666666667</v>
      </c>
      <c r="U11" s="81">
        <f t="shared" si="5"/>
        <v>4.854666666666667</v>
      </c>
      <c r="V11" s="12"/>
    </row>
    <row r="12" spans="1:22" ht="13.5" thickBot="1" thickTop="1">
      <c r="A12" s="71" t="s">
        <v>111</v>
      </c>
      <c r="B12" s="85" t="s">
        <v>2</v>
      </c>
      <c r="C12" s="357">
        <v>300</v>
      </c>
      <c r="D12" s="83">
        <f t="shared" si="7"/>
        <v>66</v>
      </c>
      <c r="E12" s="360">
        <v>15</v>
      </c>
      <c r="F12" s="360">
        <v>125</v>
      </c>
      <c r="G12" s="70">
        <f t="shared" si="11"/>
        <v>15.6</v>
      </c>
      <c r="H12" s="75">
        <f t="shared" si="0"/>
        <v>15.6</v>
      </c>
      <c r="I12" s="88">
        <f t="shared" si="1"/>
        <v>6.72</v>
      </c>
      <c r="J12" s="86">
        <f>($C12+$D12)/2*Assumptions!G37</f>
        <v>9.15</v>
      </c>
      <c r="K12" s="86">
        <f>($C12+$D12)/2*Assumptions!G38</f>
        <v>1.83</v>
      </c>
      <c r="L12" s="86">
        <f>($C12+$D12)/2*Assumptions!G39</f>
        <v>1.83</v>
      </c>
      <c r="M12" s="86">
        <f t="shared" si="8"/>
        <v>28.409999999999997</v>
      </c>
      <c r="N12" s="92">
        <f t="shared" si="9"/>
        <v>8</v>
      </c>
      <c r="O12" s="93">
        <v>0</v>
      </c>
      <c r="P12" s="100">
        <f t="shared" si="6"/>
        <v>8</v>
      </c>
      <c r="Q12" s="101">
        <f t="shared" si="2"/>
        <v>36.41</v>
      </c>
      <c r="R12" s="71" t="str">
        <f t="shared" si="10"/>
        <v>Subsoiler</v>
      </c>
      <c r="S12" s="102">
        <f t="shared" si="3"/>
        <v>0.22727999999999998</v>
      </c>
      <c r="T12" s="73">
        <f t="shared" si="4"/>
        <v>0.064</v>
      </c>
      <c r="U12" s="81">
        <f t="shared" si="5"/>
        <v>0.29128</v>
      </c>
      <c r="V12" s="12"/>
    </row>
    <row r="13" spans="1:22" ht="13.5" thickBot="1" thickTop="1">
      <c r="A13" s="71" t="s">
        <v>112</v>
      </c>
      <c r="B13" s="85" t="s">
        <v>2</v>
      </c>
      <c r="C13" s="357">
        <v>1000</v>
      </c>
      <c r="D13" s="83">
        <f t="shared" si="7"/>
        <v>220</v>
      </c>
      <c r="E13" s="360">
        <v>15</v>
      </c>
      <c r="F13" s="360">
        <v>100</v>
      </c>
      <c r="G13" s="70">
        <f t="shared" si="11"/>
        <v>52</v>
      </c>
      <c r="H13" s="75">
        <f t="shared" si="0"/>
        <v>52</v>
      </c>
      <c r="I13" s="88">
        <f t="shared" si="1"/>
        <v>22.400000000000002</v>
      </c>
      <c r="J13" s="86">
        <f>($C13+$D13)/2*Assumptions!G37</f>
        <v>30.5</v>
      </c>
      <c r="K13" s="86">
        <f>($C13+$D13)/2*Assumptions!G38</f>
        <v>6.1000000000000005</v>
      </c>
      <c r="L13" s="86">
        <f>($C13+$D13)/2*Assumptions!G39</f>
        <v>6.1000000000000005</v>
      </c>
      <c r="M13" s="86">
        <f t="shared" si="8"/>
        <v>94.69999999999999</v>
      </c>
      <c r="N13" s="92">
        <f t="shared" si="9"/>
        <v>26.666666666666668</v>
      </c>
      <c r="O13" s="93">
        <v>0</v>
      </c>
      <c r="P13" s="100">
        <f t="shared" si="6"/>
        <v>26.666666666666668</v>
      </c>
      <c r="Q13" s="101">
        <f t="shared" si="2"/>
        <v>121.36666666666666</v>
      </c>
      <c r="R13" s="71" t="str">
        <f t="shared" si="10"/>
        <v>Rotary Spreader</v>
      </c>
      <c r="S13" s="102">
        <f t="shared" si="3"/>
        <v>0.9469999999999998</v>
      </c>
      <c r="T13" s="73">
        <f t="shared" si="4"/>
        <v>0.26666666666666666</v>
      </c>
      <c r="U13" s="81">
        <f t="shared" si="5"/>
        <v>1.2136666666666664</v>
      </c>
      <c r="V13" s="12"/>
    </row>
    <row r="14" spans="1:22" ht="13.5" thickBot="1" thickTop="1">
      <c r="A14" s="71" t="s">
        <v>117</v>
      </c>
      <c r="B14" s="85" t="s">
        <v>2</v>
      </c>
      <c r="C14" s="357">
        <v>5000</v>
      </c>
      <c r="D14" s="83">
        <f t="shared" si="7"/>
        <v>1100</v>
      </c>
      <c r="E14" s="360">
        <v>15</v>
      </c>
      <c r="F14" s="360">
        <v>100</v>
      </c>
      <c r="G14" s="70">
        <f t="shared" si="11"/>
        <v>260</v>
      </c>
      <c r="H14" s="75">
        <f t="shared" si="0"/>
        <v>260</v>
      </c>
      <c r="I14" s="88">
        <f t="shared" si="1"/>
        <v>112</v>
      </c>
      <c r="J14" s="86">
        <f>($C14+$D14)/2*Assumptions!G37</f>
        <v>152.5</v>
      </c>
      <c r="K14" s="86">
        <f>($C14+$D14)/2*Assumptions!G38</f>
        <v>30.5</v>
      </c>
      <c r="L14" s="86">
        <f>($C14+$D14)/2*Assumptions!G39</f>
        <v>30.5</v>
      </c>
      <c r="M14" s="86">
        <f t="shared" si="8"/>
        <v>473.5</v>
      </c>
      <c r="N14" s="92">
        <f t="shared" si="9"/>
        <v>133.33333333333334</v>
      </c>
      <c r="O14" s="93">
        <v>0</v>
      </c>
      <c r="P14" s="100">
        <f t="shared" si="6"/>
        <v>133.33333333333334</v>
      </c>
      <c r="Q14" s="101">
        <f t="shared" si="2"/>
        <v>606.8333333333334</v>
      </c>
      <c r="R14" s="71" t="str">
        <f>A14</f>
        <v>Grain Drill</v>
      </c>
      <c r="S14" s="102">
        <f t="shared" si="3"/>
        <v>4.735</v>
      </c>
      <c r="T14" s="73">
        <f t="shared" si="4"/>
        <v>1.3333333333333335</v>
      </c>
      <c r="U14" s="81">
        <f t="shared" si="5"/>
        <v>6.068333333333333</v>
      </c>
      <c r="V14" s="12"/>
    </row>
    <row r="15" spans="1:22" ht="13.5" thickBot="1" thickTop="1">
      <c r="A15" s="71" t="s">
        <v>125</v>
      </c>
      <c r="B15" s="85"/>
      <c r="C15" s="357">
        <v>3500</v>
      </c>
      <c r="D15" s="83">
        <f t="shared" si="7"/>
        <v>770</v>
      </c>
      <c r="E15" s="360">
        <v>15</v>
      </c>
      <c r="F15" s="360">
        <v>100</v>
      </c>
      <c r="G15" s="70">
        <f t="shared" si="11"/>
        <v>182</v>
      </c>
      <c r="H15" s="75">
        <f t="shared" si="0"/>
        <v>182</v>
      </c>
      <c r="I15" s="88">
        <f t="shared" si="1"/>
        <v>78.39999999999999</v>
      </c>
      <c r="J15" s="86">
        <f>($C15+$D15)/2*Assumptions!G37</f>
        <v>106.75</v>
      </c>
      <c r="K15" s="86">
        <f>($C15+$D15)/2*Assumptions!G38</f>
        <v>21.35</v>
      </c>
      <c r="L15" s="86">
        <f>($C15+$D15)/2*Assumptions!G39</f>
        <v>21.35</v>
      </c>
      <c r="M15" s="86">
        <f t="shared" si="8"/>
        <v>331.45000000000005</v>
      </c>
      <c r="N15" s="92">
        <f t="shared" si="9"/>
        <v>93.33333333333333</v>
      </c>
      <c r="O15" s="93">
        <v>0</v>
      </c>
      <c r="P15" s="100">
        <f t="shared" si="6"/>
        <v>93.33333333333333</v>
      </c>
      <c r="Q15" s="101">
        <f t="shared" si="2"/>
        <v>424.78333333333336</v>
      </c>
      <c r="R15" s="71" t="str">
        <f>A15</f>
        <v>Rototiller</v>
      </c>
      <c r="S15" s="102">
        <f t="shared" si="3"/>
        <v>3.3145000000000007</v>
      </c>
      <c r="T15" s="73">
        <f t="shared" si="4"/>
        <v>0.9333333333333332</v>
      </c>
      <c r="U15" s="81">
        <f t="shared" si="5"/>
        <v>4.247833333333334</v>
      </c>
      <c r="V15" s="12"/>
    </row>
    <row r="16" spans="1:22" ht="13.5" thickBot="1" thickTop="1">
      <c r="A16" s="71" t="s">
        <v>381</v>
      </c>
      <c r="B16" s="85"/>
      <c r="C16" s="357">
        <v>7000</v>
      </c>
      <c r="D16" s="83">
        <f t="shared" si="7"/>
        <v>1540</v>
      </c>
      <c r="E16" s="360">
        <v>20</v>
      </c>
      <c r="F16" s="360">
        <v>40</v>
      </c>
      <c r="G16" s="70">
        <f t="shared" si="11"/>
        <v>273</v>
      </c>
      <c r="H16" s="75">
        <f t="shared" si="0"/>
        <v>273</v>
      </c>
      <c r="I16" s="88">
        <f t="shared" si="1"/>
        <v>152.25</v>
      </c>
      <c r="J16" s="86">
        <f>($C16+$D16)/2*Assumptions!G37</f>
        <v>213.5</v>
      </c>
      <c r="K16" s="86">
        <f>($C16+$D16)/2*Assumptions!G38</f>
        <v>42.7</v>
      </c>
      <c r="L16" s="86">
        <f>($C16+$D16)/2*Assumptions!G39</f>
        <v>42.7</v>
      </c>
      <c r="M16" s="86">
        <f t="shared" si="8"/>
        <v>571.9000000000001</v>
      </c>
      <c r="N16" s="92">
        <f t="shared" si="9"/>
        <v>140</v>
      </c>
      <c r="O16" s="93">
        <v>0</v>
      </c>
      <c r="P16" s="100">
        <f t="shared" si="6"/>
        <v>140</v>
      </c>
      <c r="Q16" s="101">
        <f t="shared" si="2"/>
        <v>711.9000000000001</v>
      </c>
      <c r="R16" s="71" t="str">
        <f t="shared" si="10"/>
        <v>Plastic Layer, Bed Shaper</v>
      </c>
      <c r="S16" s="102">
        <f t="shared" si="3"/>
        <v>14.297500000000003</v>
      </c>
      <c r="T16" s="73">
        <f t="shared" si="4"/>
        <v>3.5</v>
      </c>
      <c r="U16" s="81">
        <f t="shared" si="5"/>
        <v>17.797500000000003</v>
      </c>
      <c r="V16" s="12"/>
    </row>
    <row r="17" spans="1:22" ht="13.5" thickBot="1" thickTop="1">
      <c r="A17" s="72" t="s">
        <v>58</v>
      </c>
      <c r="B17" s="87">
        <v>400</v>
      </c>
      <c r="C17" s="357">
        <v>400</v>
      </c>
      <c r="D17" s="83">
        <f>C17*0.22</f>
        <v>88</v>
      </c>
      <c r="E17" s="360">
        <v>10</v>
      </c>
      <c r="F17" s="360">
        <v>150</v>
      </c>
      <c r="G17" s="70">
        <f t="shared" si="11"/>
        <v>31.2</v>
      </c>
      <c r="H17" s="75">
        <f t="shared" si="0"/>
        <v>31.2</v>
      </c>
      <c r="I17" s="88">
        <f t="shared" si="1"/>
        <v>9.48</v>
      </c>
      <c r="J17" s="86">
        <f>($C17+$D17)/2*Assumptions!G37</f>
        <v>12.200000000000001</v>
      </c>
      <c r="K17" s="86">
        <f>($C17+$D17)/2*Assumptions!G38</f>
        <v>2.44</v>
      </c>
      <c r="L17" s="86">
        <f>($C17+$D17)/2*Assumptions!G39</f>
        <v>2.44</v>
      </c>
      <c r="M17" s="86">
        <f t="shared" si="8"/>
        <v>48.279999999999994</v>
      </c>
      <c r="N17" s="92">
        <f t="shared" si="9"/>
        <v>16</v>
      </c>
      <c r="O17" s="93">
        <v>0</v>
      </c>
      <c r="P17" s="100">
        <f t="shared" si="6"/>
        <v>16</v>
      </c>
      <c r="Q17" s="101">
        <f t="shared" si="2"/>
        <v>64.28</v>
      </c>
      <c r="R17" s="71" t="str">
        <f t="shared" si="10"/>
        <v>Fertilizer Injector</v>
      </c>
      <c r="S17" s="102">
        <f t="shared" si="3"/>
        <v>0.32186666666666663</v>
      </c>
      <c r="T17" s="73">
        <f t="shared" si="4"/>
        <v>0.10666666666666667</v>
      </c>
      <c r="U17" s="81">
        <f t="shared" si="5"/>
        <v>0.4285333333333333</v>
      </c>
      <c r="V17" s="12"/>
    </row>
    <row r="18" spans="1:22" ht="13.5" thickBot="1" thickTop="1">
      <c r="A18" s="72" t="s">
        <v>265</v>
      </c>
      <c r="B18" s="87"/>
      <c r="C18" s="357">
        <v>24645</v>
      </c>
      <c r="D18" s="86">
        <v>0</v>
      </c>
      <c r="E18" s="360">
        <v>20</v>
      </c>
      <c r="F18" s="360">
        <v>45</v>
      </c>
      <c r="G18" s="70">
        <f>($C18-$D18)/$E18</f>
        <v>1232.25</v>
      </c>
      <c r="H18" s="74">
        <f t="shared" si="0"/>
        <v>1232.25</v>
      </c>
      <c r="I18" s="89">
        <f t="shared" si="1"/>
        <v>61.612500000000004</v>
      </c>
      <c r="J18" s="86">
        <f>($C18+$D18)/2*Assumptions!G37</f>
        <v>616.125</v>
      </c>
      <c r="K18" s="86">
        <f>($C18+$D18)/2*Assumptions!G38</f>
        <v>123.22500000000001</v>
      </c>
      <c r="L18" s="86">
        <f>($C18+$D18)/2*Assumptions!G39</f>
        <v>123.22500000000001</v>
      </c>
      <c r="M18" s="86">
        <f t="shared" si="8"/>
        <v>2094.825</v>
      </c>
      <c r="N18" s="92">
        <f t="shared" si="9"/>
        <v>492.9</v>
      </c>
      <c r="O18" s="91">
        <f>(2*Assumptions!B44*F18)+((2*Assumptions!B44*F18)*Assumptions!D44)</f>
        <v>321.3</v>
      </c>
      <c r="P18" s="100">
        <f>SUM($N18:$O18)</f>
        <v>814.2</v>
      </c>
      <c r="Q18" s="101">
        <f t="shared" si="2"/>
        <v>2909.0249999999996</v>
      </c>
      <c r="R18" s="71" t="str">
        <f t="shared" si="10"/>
        <v>OH Irrigation System</v>
      </c>
      <c r="S18" s="102">
        <f t="shared" si="3"/>
        <v>46.55166666666666</v>
      </c>
      <c r="T18" s="73">
        <f t="shared" si="4"/>
        <v>18.093333333333334</v>
      </c>
      <c r="U18" s="330">
        <f t="shared" si="5"/>
        <v>64.645</v>
      </c>
      <c r="V18" s="331">
        <f>U18/5</f>
        <v>12.928999999999998</v>
      </c>
    </row>
    <row r="19" spans="1:22" ht="13.5" thickBot="1" thickTop="1">
      <c r="A19" s="72" t="s">
        <v>321</v>
      </c>
      <c r="B19" s="87" t="s">
        <v>68</v>
      </c>
      <c r="C19" s="357">
        <v>12382</v>
      </c>
      <c r="D19" s="86">
        <v>0</v>
      </c>
      <c r="E19" s="360">
        <v>20</v>
      </c>
      <c r="F19" s="360">
        <v>45</v>
      </c>
      <c r="G19" s="70">
        <f>($C19-$D19)/$E19</f>
        <v>619.1</v>
      </c>
      <c r="H19" s="74">
        <f t="shared" si="0"/>
        <v>619.1</v>
      </c>
      <c r="I19" s="89">
        <f t="shared" si="1"/>
        <v>30.955000000000002</v>
      </c>
      <c r="J19" s="86">
        <f>($C19+$D19)/2*Assumptions!G37</f>
        <v>309.55</v>
      </c>
      <c r="K19" s="86">
        <f>($C19+$D19)/2*Assumptions!G38</f>
        <v>61.910000000000004</v>
      </c>
      <c r="L19" s="86">
        <f>($C19+$D19)/2*Assumptions!G39</f>
        <v>61.910000000000004</v>
      </c>
      <c r="M19" s="86">
        <f t="shared" si="8"/>
        <v>1052.47</v>
      </c>
      <c r="N19" s="92">
        <f t="shared" si="9"/>
        <v>247.64000000000001</v>
      </c>
      <c r="O19" s="91">
        <f>(2*Assumptions!B44*F19)+((2*Assumptions!B44*F19)*Assumptions!D44)</f>
        <v>321.3</v>
      </c>
      <c r="P19" s="100">
        <f>SUM($N19:$O19)</f>
        <v>568.94</v>
      </c>
      <c r="Q19" s="101">
        <f t="shared" si="2"/>
        <v>1621.41</v>
      </c>
      <c r="R19" s="71" t="str">
        <f t="shared" si="10"/>
        <v>Drip Irrigation System</v>
      </c>
      <c r="S19" s="102">
        <f t="shared" si="3"/>
        <v>23.388222222222222</v>
      </c>
      <c r="T19" s="73">
        <f t="shared" si="4"/>
        <v>12.643111111111113</v>
      </c>
      <c r="U19" s="81">
        <f t="shared" si="5"/>
        <v>36.031333333333336</v>
      </c>
      <c r="V19" s="331">
        <f>U19/5</f>
        <v>7.206266666666667</v>
      </c>
    </row>
    <row r="20" spans="1:21" ht="37.5" customHeight="1" thickBot="1" thickTop="1">
      <c r="A20" s="76" t="s">
        <v>93</v>
      </c>
      <c r="B20" s="107"/>
      <c r="C20" s="105" t="s">
        <v>44</v>
      </c>
      <c r="D20" s="105" t="s">
        <v>45</v>
      </c>
      <c r="E20" s="105" t="s">
        <v>46</v>
      </c>
      <c r="F20" s="77" t="s">
        <v>75</v>
      </c>
      <c r="G20" s="77" t="s">
        <v>47</v>
      </c>
      <c r="H20" s="78" t="s">
        <v>88</v>
      </c>
      <c r="I20" s="79" t="s">
        <v>85</v>
      </c>
      <c r="J20" s="105" t="s">
        <v>49</v>
      </c>
      <c r="K20" s="105" t="s">
        <v>48</v>
      </c>
      <c r="L20" s="105" t="s">
        <v>18</v>
      </c>
      <c r="M20" s="105" t="s">
        <v>50</v>
      </c>
      <c r="N20" s="105" t="s">
        <v>90</v>
      </c>
      <c r="O20" s="105" t="s">
        <v>89</v>
      </c>
      <c r="P20" s="105" t="s">
        <v>51</v>
      </c>
      <c r="Q20" s="106" t="s">
        <v>91</v>
      </c>
      <c r="R20" s="76" t="s">
        <v>93</v>
      </c>
      <c r="S20" s="103" t="s">
        <v>86</v>
      </c>
      <c r="T20" s="103" t="s">
        <v>87</v>
      </c>
      <c r="U20" s="104" t="s">
        <v>92</v>
      </c>
    </row>
    <row r="21" spans="1:23" ht="15" customHeight="1" thickTop="1">
      <c r="A21" s="94" t="s">
        <v>57</v>
      </c>
      <c r="B21" s="95" t="s">
        <v>68</v>
      </c>
      <c r="C21" s="358">
        <v>25000</v>
      </c>
      <c r="D21" s="84">
        <v>5000</v>
      </c>
      <c r="E21" s="359">
        <v>10</v>
      </c>
      <c r="F21" s="362">
        <v>24000</v>
      </c>
      <c r="G21" s="83">
        <f>($C21-$D21)/$E21</f>
        <v>2000</v>
      </c>
      <c r="H21" s="83"/>
      <c r="I21" s="83"/>
      <c r="J21" s="83">
        <f>($C21+$D21)/2*Assumptions!G37</f>
        <v>750</v>
      </c>
      <c r="K21" s="83">
        <f>($C21+$D21)/2*Assumptions!G38</f>
        <v>150</v>
      </c>
      <c r="L21" s="83">
        <f>($C21+$D21)/2*Assumptions!G39</f>
        <v>150</v>
      </c>
      <c r="M21" s="83">
        <f>$J21+$K21+$L21</f>
        <v>1050</v>
      </c>
      <c r="N21" s="90">
        <f>(0.3*C21)/E21</f>
        <v>750</v>
      </c>
      <c r="O21" s="91">
        <f>((1/Assumptions!E47)*Assumptions!B47*F21)+(((1/Assumptions!E47)*Assumptions!B47*F21)*Assumptions!D47)</f>
        <v>4896</v>
      </c>
      <c r="P21" s="96">
        <f>SUM($N21:$O21)</f>
        <v>5646</v>
      </c>
      <c r="Q21" s="91">
        <f>$M21+$P21</f>
        <v>6696</v>
      </c>
      <c r="R21" s="97" t="s">
        <v>57</v>
      </c>
      <c r="S21" s="98">
        <f>(M21)/F21</f>
        <v>0.04375</v>
      </c>
      <c r="T21" s="98">
        <f>(P21)/F21</f>
        <v>0.23525</v>
      </c>
      <c r="U21" s="324">
        <f>S21+T21</f>
        <v>0.27899999999999997</v>
      </c>
      <c r="V21" s="325">
        <f>U21*50</f>
        <v>13.95</v>
      </c>
      <c r="W21" s="12"/>
    </row>
    <row r="22" spans="1:17" ht="0.75" customHeight="1">
      <c r="A22" s="20"/>
      <c r="B22" s="25"/>
      <c r="C22" s="21"/>
      <c r="D22" s="21"/>
      <c r="E22" s="21"/>
      <c r="F22" s="21"/>
      <c r="G22" s="22"/>
      <c r="H22" s="22"/>
      <c r="I22" s="22"/>
      <c r="J22" s="22"/>
      <c r="K22" s="22"/>
      <c r="L22" s="22"/>
      <c r="M22" s="22"/>
      <c r="N22" s="23"/>
      <c r="O22" s="23"/>
      <c r="P22" s="24"/>
      <c r="Q22" s="23"/>
    </row>
    <row r="23" spans="1:17" ht="0.75" customHeight="1">
      <c r="A23" s="40"/>
      <c r="B23" s="41"/>
      <c r="C23" s="37"/>
      <c r="D23" s="37"/>
      <c r="E23" s="37"/>
      <c r="F23" s="37"/>
      <c r="G23" s="38"/>
      <c r="H23" s="38"/>
      <c r="I23" s="38"/>
      <c r="J23" s="38"/>
      <c r="K23" s="38"/>
      <c r="L23" s="38"/>
      <c r="M23" s="38"/>
      <c r="N23" s="39"/>
      <c r="O23" s="39"/>
      <c r="P23" s="42"/>
      <c r="Q23" s="39"/>
    </row>
    <row r="24" spans="11:15" ht="12">
      <c r="K24" s="57"/>
      <c r="L24" s="57"/>
      <c r="M24" s="57"/>
      <c r="N24" s="57"/>
      <c r="O24" s="57"/>
    </row>
    <row r="25" spans="11:15" ht="12">
      <c r="K25" s="57"/>
      <c r="L25" s="29" t="s">
        <v>2</v>
      </c>
      <c r="M25" s="29"/>
      <c r="N25" s="119"/>
      <c r="O25" s="29"/>
    </row>
    <row r="26" spans="12:15" ht="12">
      <c r="L26" s="51" t="s">
        <v>2</v>
      </c>
      <c r="M26" s="51"/>
      <c r="N26" s="51"/>
      <c r="O26" s="51"/>
    </row>
    <row r="27" spans="1:15" ht="12">
      <c r="A27" s="60"/>
      <c r="B27" s="60"/>
      <c r="C27" s="111"/>
      <c r="L27" s="51" t="s">
        <v>2</v>
      </c>
      <c r="M27" s="51" t="s">
        <v>2</v>
      </c>
      <c r="N27" s="51"/>
      <c r="O27" s="51"/>
    </row>
    <row r="28" spans="1:3" ht="12">
      <c r="A28" s="112"/>
      <c r="B28" s="60"/>
      <c r="C28" s="111"/>
    </row>
    <row r="29" ht="12">
      <c r="B29" s="112"/>
    </row>
    <row r="30" ht="12">
      <c r="B30" s="60"/>
    </row>
    <row r="31" spans="1:3" ht="12">
      <c r="A31" s="60"/>
      <c r="B31" s="60"/>
      <c r="C31" s="60"/>
    </row>
    <row r="32" spans="1:10" ht="12">
      <c r="A32" s="60"/>
      <c r="B32" s="60"/>
      <c r="C32" s="60"/>
      <c r="J32" s="60"/>
    </row>
    <row r="33" ht="12">
      <c r="C33" s="60"/>
    </row>
    <row r="34" ht="12">
      <c r="C34" s="60"/>
    </row>
    <row r="35" ht="12">
      <c r="C35" s="60"/>
    </row>
  </sheetData>
  <sheetProtection password="ECAF" sheet="1" selectLockedCells="1"/>
  <mergeCells count="1">
    <mergeCell ref="S2:U2"/>
  </mergeCells>
  <printOptions/>
  <pageMargins left="0.29" right="0.21" top="0.53" bottom="0.41" header="0.5" footer="0.4"/>
  <pageSetup horizontalDpi="300" verticalDpi="300" orientation="landscape"/>
</worksheet>
</file>

<file path=xl/worksheets/sheet7.xml><?xml version="1.0" encoding="utf-8"?>
<worksheet xmlns="http://schemas.openxmlformats.org/spreadsheetml/2006/main" xmlns:r="http://schemas.openxmlformats.org/officeDocument/2006/relationships">
  <sheetPr>
    <tabColor rgb="FFFF0000"/>
    <pageSetUpPr fitToPage="1"/>
  </sheetPr>
  <dimension ref="A1:EN222"/>
  <sheetViews>
    <sheetView showGridLines="0" showOutlineSymbols="0" workbookViewId="0" topLeftCell="A160">
      <selection activeCell="M187" sqref="M187"/>
    </sheetView>
  </sheetViews>
  <sheetFormatPr defaultColWidth="9.140625" defaultRowHeight="12.75" outlineLevelRow="2" outlineLevelCol="2"/>
  <cols>
    <col min="1" max="1" width="6.28125" style="7" customWidth="1"/>
    <col min="2" max="2" width="4.8515625" style="7" customWidth="1"/>
    <col min="3" max="3" width="7.140625" style="7" customWidth="1"/>
    <col min="4" max="4" width="13.28125" style="7" customWidth="1"/>
    <col min="5" max="5" width="19.8515625" style="7" customWidth="1"/>
    <col min="6" max="6" width="8.421875" style="149" customWidth="1" outlineLevel="2"/>
    <col min="7" max="7" width="8.8515625" style="149" customWidth="1" outlineLevel="2"/>
    <col min="8" max="8" width="10.421875" style="149" customWidth="1" outlineLevel="1"/>
    <col min="9" max="9" width="13.00390625" style="7" customWidth="1" outlineLevel="2"/>
    <col min="10" max="10" width="10.140625" style="7" customWidth="1" outlineLevel="2"/>
    <col min="11" max="11" width="7.7109375" style="149" customWidth="1" outlineLevel="2"/>
    <col min="12" max="12" width="12.7109375" style="7" customWidth="1" outlineLevel="1"/>
    <col min="13" max="13" width="9.421875" style="7" customWidth="1" outlineLevel="2"/>
    <col min="14" max="14" width="11.421875" style="7" customWidth="1" outlineLevel="2"/>
    <col min="15" max="15" width="9.7109375" style="7" customWidth="1" outlineLevel="1"/>
    <col min="16" max="16" width="13.421875" style="7" customWidth="1"/>
    <col min="17" max="17" width="9.421875" style="7" bestFit="1" customWidth="1"/>
    <col min="18" max="144" width="9.140625" style="169" customWidth="1"/>
    <col min="145" max="16384" width="9.140625" style="7" customWidth="1"/>
  </cols>
  <sheetData>
    <row r="1" spans="1:18" ht="12">
      <c r="A1" s="3" t="s">
        <v>219</v>
      </c>
      <c r="B1"/>
      <c r="C1"/>
      <c r="D1"/>
      <c r="E1"/>
      <c r="F1"/>
      <c r="G1"/>
      <c r="H1"/>
      <c r="I1"/>
      <c r="J1"/>
      <c r="K1"/>
      <c r="L1"/>
      <c r="M1"/>
      <c r="N1"/>
      <c r="O1"/>
      <c r="P1" s="12"/>
      <c r="Q1" s="178"/>
      <c r="R1" s="60"/>
    </row>
    <row r="2" spans="1:18" ht="12">
      <c r="A2" s="3" t="s">
        <v>2</v>
      </c>
      <c r="B2" s="13"/>
      <c r="C2" s="13"/>
      <c r="D2" s="13"/>
      <c r="E2" s="3" t="s">
        <v>2</v>
      </c>
      <c r="F2" s="13"/>
      <c r="G2" s="13"/>
      <c r="H2" s="13"/>
      <c r="I2" s="13"/>
      <c r="J2" s="13"/>
      <c r="K2" s="30"/>
      <c r="L2" s="13" t="s">
        <v>2</v>
      </c>
      <c r="M2" s="13"/>
      <c r="N2" s="13"/>
      <c r="O2" s="13"/>
      <c r="P2" s="13"/>
      <c r="Q2" s="178"/>
      <c r="R2" s="60"/>
    </row>
    <row r="3" spans="1:18" ht="12">
      <c r="A3" s="179" t="s">
        <v>3</v>
      </c>
      <c r="B3" s="181" t="s">
        <v>132</v>
      </c>
      <c r="C3" s="180"/>
      <c r="D3" s="180"/>
      <c r="E3" s="182" t="s">
        <v>133</v>
      </c>
      <c r="F3" s="180"/>
      <c r="G3" s="180"/>
      <c r="H3" s="180"/>
      <c r="I3" s="183" t="s">
        <v>4</v>
      </c>
      <c r="J3" s="180"/>
      <c r="K3" s="180"/>
      <c r="L3" s="180"/>
      <c r="M3" s="184" t="s">
        <v>5</v>
      </c>
      <c r="N3" s="180"/>
      <c r="O3" s="180"/>
      <c r="P3" s="211" t="s">
        <v>6</v>
      </c>
      <c r="Q3" s="212" t="s">
        <v>7</v>
      </c>
      <c r="R3" s="60" t="s">
        <v>2</v>
      </c>
    </row>
    <row r="4" spans="1:18" ht="12.75" customHeight="1">
      <c r="A4" s="185"/>
      <c r="B4" s="186" t="s">
        <v>134</v>
      </c>
      <c r="C4" s="187"/>
      <c r="D4" s="187"/>
      <c r="E4" s="185"/>
      <c r="F4" s="188" t="s">
        <v>8</v>
      </c>
      <c r="G4" s="188" t="s">
        <v>9</v>
      </c>
      <c r="H4" s="188" t="s">
        <v>10</v>
      </c>
      <c r="I4" s="189" t="s">
        <v>11</v>
      </c>
      <c r="J4" s="189" t="s">
        <v>12</v>
      </c>
      <c r="K4" s="189" t="s">
        <v>135</v>
      </c>
      <c r="L4" s="189" t="s">
        <v>13</v>
      </c>
      <c r="M4" s="190" t="s">
        <v>8</v>
      </c>
      <c r="N4" s="190" t="s">
        <v>9</v>
      </c>
      <c r="O4" s="190" t="s">
        <v>14</v>
      </c>
      <c r="P4" s="191" t="s">
        <v>15</v>
      </c>
      <c r="Q4" s="213" t="s">
        <v>15</v>
      </c>
      <c r="R4" s="333" t="s">
        <v>2</v>
      </c>
    </row>
    <row r="5" spans="2:18" ht="12.75" customHeight="1">
      <c r="B5" s="192"/>
      <c r="C5" s="193"/>
      <c r="D5" s="193"/>
      <c r="F5" s="194"/>
      <c r="G5" s="194"/>
      <c r="H5" s="194"/>
      <c r="I5" s="195"/>
      <c r="J5" s="195"/>
      <c r="K5" s="195"/>
      <c r="L5" s="195"/>
      <c r="M5" s="196"/>
      <c r="N5" s="196"/>
      <c r="O5" s="196"/>
      <c r="P5" s="197"/>
      <c r="Q5" s="176"/>
      <c r="R5" s="333"/>
    </row>
    <row r="6" spans="1:144" s="218" customFormat="1" ht="12">
      <c r="A6" s="273" t="s">
        <v>136</v>
      </c>
      <c r="B6" s="216"/>
      <c r="C6" s="217"/>
      <c r="D6" s="217"/>
      <c r="F6" s="219"/>
      <c r="G6" s="219"/>
      <c r="H6" s="219"/>
      <c r="I6" s="220"/>
      <c r="J6" s="220"/>
      <c r="K6" s="220"/>
      <c r="L6" s="220"/>
      <c r="M6" s="221"/>
      <c r="N6" s="221"/>
      <c r="O6" s="221"/>
      <c r="P6" s="222"/>
      <c r="Q6" s="223"/>
      <c r="R6" s="333"/>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row>
    <row r="7" spans="1:18" ht="12">
      <c r="A7" s="170" t="s">
        <v>30</v>
      </c>
      <c r="B7" s="13"/>
      <c r="C7" s="13"/>
      <c r="D7" s="13"/>
      <c r="E7" s="13"/>
      <c r="F7" s="13"/>
      <c r="G7" s="13"/>
      <c r="H7" s="198"/>
      <c r="I7" s="199"/>
      <c r="J7" s="200"/>
      <c r="K7" s="201"/>
      <c r="L7" s="198"/>
      <c r="M7" s="13"/>
      <c r="N7" s="198"/>
      <c r="O7" s="198"/>
      <c r="P7" s="198"/>
      <c r="Q7" s="178"/>
      <c r="R7" s="60"/>
    </row>
    <row r="8" spans="1:18" ht="12" outlineLevel="1">
      <c r="A8" s="13" t="s">
        <v>137</v>
      </c>
      <c r="B8" s="13" t="s">
        <v>347</v>
      </c>
      <c r="C8" s="13"/>
      <c r="D8" s="13"/>
      <c r="E8" s="6" t="s">
        <v>189</v>
      </c>
      <c r="F8" s="365">
        <v>3</v>
      </c>
      <c r="G8" s="202">
        <f>Machinery!U5+Machinery!U9</f>
        <v>20.65756</v>
      </c>
      <c r="H8" s="198">
        <f>G8*F8</f>
        <v>61.97268</v>
      </c>
      <c r="I8" s="203"/>
      <c r="J8" s="338"/>
      <c r="K8" s="204"/>
      <c r="L8" s="198"/>
      <c r="M8" s="205">
        <f>F8*1.2</f>
        <v>3.5999999999999996</v>
      </c>
      <c r="N8" s="337">
        <f>Assumptions!G29</f>
        <v>10.6</v>
      </c>
      <c r="O8" s="198">
        <f aca="true" t="shared" si="0" ref="O8:O14">+N8*M8</f>
        <v>38.16</v>
      </c>
      <c r="P8" s="198">
        <f>O8+L8+H8</f>
        <v>100.13268</v>
      </c>
      <c r="Q8" s="178"/>
      <c r="R8" s="60"/>
    </row>
    <row r="9" spans="1:18" ht="12" outlineLevel="1">
      <c r="A9" s="13"/>
      <c r="B9" s="13"/>
      <c r="C9" s="363" t="s">
        <v>346</v>
      </c>
      <c r="D9" s="363"/>
      <c r="E9" s="6"/>
      <c r="F9" s="268"/>
      <c r="G9" s="202"/>
      <c r="H9" s="198"/>
      <c r="I9" s="367">
        <v>4.6</v>
      </c>
      <c r="J9" s="368" t="s">
        <v>114</v>
      </c>
      <c r="K9" s="369">
        <v>4</v>
      </c>
      <c r="L9" s="263">
        <f>+K9*I9</f>
        <v>18.4</v>
      </c>
      <c r="M9" s="202"/>
      <c r="N9" s="198"/>
      <c r="O9" s="198"/>
      <c r="P9" s="198">
        <f>O9+L9+H9</f>
        <v>18.4</v>
      </c>
      <c r="Q9" s="178"/>
      <c r="R9" s="60"/>
    </row>
    <row r="10" spans="1:18" ht="12" outlineLevel="1">
      <c r="A10" s="13" t="s">
        <v>137</v>
      </c>
      <c r="B10" s="13" t="s">
        <v>138</v>
      </c>
      <c r="C10" s="13"/>
      <c r="D10" s="13"/>
      <c r="E10" s="201" t="s">
        <v>139</v>
      </c>
      <c r="F10" s="202" t="s">
        <v>2</v>
      </c>
      <c r="G10" s="202" t="s">
        <v>2</v>
      </c>
      <c r="H10" s="198"/>
      <c r="I10" s="203"/>
      <c r="J10" s="338"/>
      <c r="K10" s="204"/>
      <c r="L10" s="198"/>
      <c r="M10" s="365">
        <v>18</v>
      </c>
      <c r="N10" s="337">
        <f>Assumptions!G29</f>
        <v>10.6</v>
      </c>
      <c r="O10" s="198">
        <f t="shared" si="0"/>
        <v>190.79999999999998</v>
      </c>
      <c r="P10" s="198">
        <f aca="true" t="shared" si="1" ref="P10:P21">O10+L10+H10</f>
        <v>190.79999999999998</v>
      </c>
      <c r="Q10" s="178"/>
      <c r="R10" s="60"/>
    </row>
    <row r="11" spans="1:18" ht="12" outlineLevel="1">
      <c r="A11" s="13"/>
      <c r="B11" s="13" t="s">
        <v>2</v>
      </c>
      <c r="C11" s="13"/>
      <c r="D11" s="13"/>
      <c r="E11" s="6" t="s">
        <v>190</v>
      </c>
      <c r="F11" s="365">
        <v>3</v>
      </c>
      <c r="G11" s="202">
        <f>Machinery!U5+Machinery!U10</f>
        <v>17.124404444444444</v>
      </c>
      <c r="H11" s="198">
        <f>G11*F11</f>
        <v>51.37321333333333</v>
      </c>
      <c r="I11" s="203"/>
      <c r="J11" s="338"/>
      <c r="K11" s="204"/>
      <c r="L11" s="198"/>
      <c r="M11" s="205">
        <f>F11*1.2</f>
        <v>3.5999999999999996</v>
      </c>
      <c r="N11" s="337">
        <f>Assumptions!G29</f>
        <v>10.6</v>
      </c>
      <c r="O11" s="198">
        <f t="shared" si="0"/>
        <v>38.16</v>
      </c>
      <c r="P11" s="198">
        <f t="shared" si="1"/>
        <v>89.53321333333332</v>
      </c>
      <c r="Q11" s="178"/>
      <c r="R11" s="60"/>
    </row>
    <row r="12" spans="1:18" ht="12" outlineLevel="1">
      <c r="A12" s="13" t="s">
        <v>140</v>
      </c>
      <c r="B12" s="13" t="s">
        <v>196</v>
      </c>
      <c r="C12" s="13"/>
      <c r="D12" s="13"/>
      <c r="E12" s="201" t="s">
        <v>191</v>
      </c>
      <c r="F12" s="366">
        <v>1</v>
      </c>
      <c r="G12" s="202">
        <f>Machinery!V21</f>
        <v>13.95</v>
      </c>
      <c r="H12" s="198">
        <f>G12*F12</f>
        <v>13.95</v>
      </c>
      <c r="I12" s="203"/>
      <c r="J12" s="338"/>
      <c r="K12" s="204"/>
      <c r="L12" s="198"/>
      <c r="M12" s="146">
        <v>1.2</v>
      </c>
      <c r="N12" s="337">
        <f>Assumptions!G29</f>
        <v>10.6</v>
      </c>
      <c r="O12" s="198">
        <f t="shared" si="0"/>
        <v>12.719999999999999</v>
      </c>
      <c r="P12" s="198">
        <f t="shared" si="1"/>
        <v>26.669999999999998</v>
      </c>
      <c r="Q12" s="178"/>
      <c r="R12" s="60"/>
    </row>
    <row r="13" spans="1:18" ht="12" outlineLevel="1">
      <c r="A13" s="13" t="s">
        <v>140</v>
      </c>
      <c r="B13" s="13" t="s">
        <v>322</v>
      </c>
      <c r="C13" s="13"/>
      <c r="D13" s="13"/>
      <c r="E13" s="6" t="s">
        <v>323</v>
      </c>
      <c r="F13" s="366">
        <v>1</v>
      </c>
      <c r="G13" s="205">
        <f>Machinery!U5+Machinery!U6</f>
        <v>17.44746</v>
      </c>
      <c r="H13" s="198">
        <f>G13*F13</f>
        <v>17.44746</v>
      </c>
      <c r="I13" s="367">
        <v>12</v>
      </c>
      <c r="J13" s="368" t="s">
        <v>325</v>
      </c>
      <c r="K13" s="369">
        <v>17</v>
      </c>
      <c r="L13" s="263">
        <f>+K13*I13</f>
        <v>204</v>
      </c>
      <c r="M13" s="146">
        <v>1.2</v>
      </c>
      <c r="N13" s="337">
        <f>Assumptions!G29</f>
        <v>10.6</v>
      </c>
      <c r="O13" s="198">
        <f t="shared" si="0"/>
        <v>12.719999999999999</v>
      </c>
      <c r="P13" s="198">
        <f>O13+L13+H13</f>
        <v>234.16746</v>
      </c>
      <c r="Q13" s="178"/>
      <c r="R13" s="60"/>
    </row>
    <row r="14" spans="1:18" ht="12" outlineLevel="1">
      <c r="A14" s="13" t="s">
        <v>140</v>
      </c>
      <c r="B14" s="13" t="s">
        <v>197</v>
      </c>
      <c r="C14" s="13"/>
      <c r="D14" s="13"/>
      <c r="E14" s="6" t="s">
        <v>192</v>
      </c>
      <c r="F14" s="366">
        <v>1</v>
      </c>
      <c r="G14" s="202">
        <f>Machinery!U5+Machinery!U11</f>
        <v>18.742626666666666</v>
      </c>
      <c r="H14" s="198">
        <f>G14*F14</f>
        <v>18.742626666666666</v>
      </c>
      <c r="I14" s="203"/>
      <c r="J14" s="338"/>
      <c r="K14" s="204"/>
      <c r="L14" s="198"/>
      <c r="M14" s="146">
        <v>1.2</v>
      </c>
      <c r="N14" s="337">
        <f>Assumptions!G29</f>
        <v>10.6</v>
      </c>
      <c r="O14" s="198">
        <f t="shared" si="0"/>
        <v>12.719999999999999</v>
      </c>
      <c r="P14" s="198">
        <f t="shared" si="1"/>
        <v>31.462626666666665</v>
      </c>
      <c r="Q14" s="178"/>
      <c r="R14" s="60"/>
    </row>
    <row r="15" spans="1:20" ht="12" outlineLevel="1">
      <c r="A15" s="13" t="s">
        <v>140</v>
      </c>
      <c r="B15" s="13" t="s">
        <v>194</v>
      </c>
      <c r="C15" s="13"/>
      <c r="D15" s="13"/>
      <c r="E15" s="201" t="s">
        <v>141</v>
      </c>
      <c r="F15" s="202"/>
      <c r="G15" s="202"/>
      <c r="H15" s="198"/>
      <c r="I15" s="367">
        <v>55</v>
      </c>
      <c r="J15" s="368" t="s">
        <v>115</v>
      </c>
      <c r="K15" s="369">
        <v>1</v>
      </c>
      <c r="L15" s="263">
        <f>+K15*I15</f>
        <v>55</v>
      </c>
      <c r="M15" s="202"/>
      <c r="N15" s="198"/>
      <c r="O15" s="198"/>
      <c r="P15" s="198">
        <f t="shared" si="1"/>
        <v>55</v>
      </c>
      <c r="Q15" s="178"/>
      <c r="R15" s="60"/>
      <c r="T15"/>
    </row>
    <row r="16" spans="1:18" ht="12" outlineLevel="1">
      <c r="A16" s="13" t="s">
        <v>140</v>
      </c>
      <c r="B16" s="13" t="s">
        <v>198</v>
      </c>
      <c r="C16" s="13"/>
      <c r="D16" s="13"/>
      <c r="E16" s="201" t="s">
        <v>193</v>
      </c>
      <c r="F16" s="365">
        <v>3</v>
      </c>
      <c r="G16" s="202">
        <f>Machinery!U5+Machinery!U14</f>
        <v>19.956293333333335</v>
      </c>
      <c r="H16" s="198">
        <f>G16*F16</f>
        <v>59.868880000000004</v>
      </c>
      <c r="I16" s="265" t="s">
        <v>2</v>
      </c>
      <c r="J16" s="266" t="s">
        <v>2</v>
      </c>
      <c r="K16" s="267" t="s">
        <v>2</v>
      </c>
      <c r="L16" s="263"/>
      <c r="M16" s="205">
        <f>F16*1.2</f>
        <v>3.5999999999999996</v>
      </c>
      <c r="N16" s="337">
        <f>Assumptions!G29</f>
        <v>10.6</v>
      </c>
      <c r="O16" s="198">
        <f>+N16*M16</f>
        <v>38.16</v>
      </c>
      <c r="P16" s="198">
        <f t="shared" si="1"/>
        <v>98.02888</v>
      </c>
      <c r="Q16" s="178"/>
      <c r="R16" s="60"/>
    </row>
    <row r="17" spans="1:18" ht="12" outlineLevel="1">
      <c r="A17" s="13"/>
      <c r="B17" s="201"/>
      <c r="C17" s="364" t="s">
        <v>195</v>
      </c>
      <c r="D17" s="363"/>
      <c r="E17" s="201" t="s">
        <v>2</v>
      </c>
      <c r="F17" s="202"/>
      <c r="G17" s="202"/>
      <c r="H17" s="198"/>
      <c r="I17" s="367">
        <v>0.4</v>
      </c>
      <c r="J17" s="368" t="s">
        <v>26</v>
      </c>
      <c r="K17" s="369">
        <v>80</v>
      </c>
      <c r="L17" s="263">
        <f>+K17*I17</f>
        <v>32</v>
      </c>
      <c r="M17" s="202"/>
      <c r="N17" s="198"/>
      <c r="O17" s="198"/>
      <c r="P17" s="198">
        <f t="shared" si="1"/>
        <v>32</v>
      </c>
      <c r="Q17" s="206" t="s">
        <v>2</v>
      </c>
      <c r="R17" s="60"/>
    </row>
    <row r="18" spans="1:18" ht="12" outlineLevel="1">
      <c r="A18" s="13"/>
      <c r="B18" s="201"/>
      <c r="C18" s="364" t="s">
        <v>383</v>
      </c>
      <c r="D18" s="363"/>
      <c r="E18" s="201"/>
      <c r="F18" s="202"/>
      <c r="G18" s="202"/>
      <c r="H18" s="198"/>
      <c r="I18" s="367">
        <v>0.18</v>
      </c>
      <c r="J18" s="368" t="s">
        <v>26</v>
      </c>
      <c r="K18" s="369">
        <v>40</v>
      </c>
      <c r="L18" s="263">
        <f>+K18*I18</f>
        <v>7.199999999999999</v>
      </c>
      <c r="M18" s="202"/>
      <c r="N18" s="198"/>
      <c r="O18" s="198"/>
      <c r="P18" s="198">
        <f>O18+L18+H18</f>
        <v>7.199999999999999</v>
      </c>
      <c r="Q18" s="206"/>
      <c r="R18" s="60"/>
    </row>
    <row r="19" spans="1:18" ht="12" outlineLevel="1">
      <c r="A19" s="13"/>
      <c r="B19" s="201"/>
      <c r="C19" s="364" t="s">
        <v>326</v>
      </c>
      <c r="D19" s="363"/>
      <c r="E19" s="201" t="s">
        <v>2</v>
      </c>
      <c r="F19" s="202"/>
      <c r="G19" s="202"/>
      <c r="H19" s="198"/>
      <c r="I19" s="367">
        <v>1.99</v>
      </c>
      <c r="J19" s="368" t="s">
        <v>35</v>
      </c>
      <c r="K19" s="369">
        <v>4</v>
      </c>
      <c r="L19" s="263">
        <f>+K19*I19</f>
        <v>7.96</v>
      </c>
      <c r="M19" s="202"/>
      <c r="N19" s="198" t="s">
        <v>2</v>
      </c>
      <c r="O19" s="198"/>
      <c r="P19" s="198">
        <f>O19+L19+H19</f>
        <v>7.96</v>
      </c>
      <c r="Q19" s="206"/>
      <c r="R19" s="60"/>
    </row>
    <row r="20" spans="1:18" ht="12" outlineLevel="1">
      <c r="A20" s="13"/>
      <c r="B20" s="201"/>
      <c r="C20" s="364" t="s">
        <v>342</v>
      </c>
      <c r="D20" s="363"/>
      <c r="E20" s="201"/>
      <c r="F20" s="202"/>
      <c r="G20" s="202"/>
      <c r="H20" s="198"/>
      <c r="I20" s="367">
        <v>0</v>
      </c>
      <c r="J20" s="368" t="s">
        <v>2</v>
      </c>
      <c r="K20" s="369">
        <v>0</v>
      </c>
      <c r="L20" s="263">
        <f>+K20*I20</f>
        <v>0</v>
      </c>
      <c r="M20" s="202"/>
      <c r="N20" s="198"/>
      <c r="O20" s="198"/>
      <c r="P20" s="198">
        <f t="shared" si="1"/>
        <v>0</v>
      </c>
      <c r="Q20" s="206"/>
      <c r="R20" s="60"/>
    </row>
    <row r="21" spans="1:18" ht="12" outlineLevel="1">
      <c r="A21" s="13"/>
      <c r="B21" s="201"/>
      <c r="C21" s="364" t="s">
        <v>342</v>
      </c>
      <c r="D21" s="363"/>
      <c r="E21" s="201" t="s">
        <v>2</v>
      </c>
      <c r="F21" s="202"/>
      <c r="G21" s="202"/>
      <c r="H21" s="198"/>
      <c r="I21" s="367">
        <v>0</v>
      </c>
      <c r="J21" s="368" t="s">
        <v>2</v>
      </c>
      <c r="K21" s="369">
        <v>0</v>
      </c>
      <c r="L21" s="263">
        <f>+K21*I21</f>
        <v>0</v>
      </c>
      <c r="M21" s="202"/>
      <c r="N21" s="198" t="s">
        <v>2</v>
      </c>
      <c r="O21" s="198"/>
      <c r="P21" s="198">
        <f t="shared" si="1"/>
        <v>0</v>
      </c>
      <c r="Q21" s="206"/>
      <c r="R21" s="60"/>
    </row>
    <row r="22" spans="1:144" s="177" customFormat="1" ht="10.5" customHeight="1">
      <c r="A22" s="227" t="s">
        <v>142</v>
      </c>
      <c r="B22" s="227"/>
      <c r="C22" s="227"/>
      <c r="D22" s="227"/>
      <c r="E22" s="228"/>
      <c r="F22" s="229"/>
      <c r="G22" s="229"/>
      <c r="H22" s="230">
        <f>SUM(H8:H21)</f>
        <v>223.35485999999997</v>
      </c>
      <c r="I22" s="230"/>
      <c r="J22" s="231"/>
      <c r="K22" s="228"/>
      <c r="L22" s="230">
        <f>SUM(L8:L21)</f>
        <v>324.55999999999995</v>
      </c>
      <c r="M22" s="260">
        <f>SUM(M8:M21)</f>
        <v>32.4</v>
      </c>
      <c r="N22" s="230"/>
      <c r="O22" s="230">
        <f>SUM(O8:O21)</f>
        <v>343.44000000000005</v>
      </c>
      <c r="P22" s="230">
        <f>SUM(P8:P21)</f>
        <v>891.35486</v>
      </c>
      <c r="Q22" s="230">
        <f>P22</f>
        <v>891.35486</v>
      </c>
      <c r="R22" s="120"/>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169"/>
      <c r="DN22" s="169"/>
      <c r="DO22" s="169"/>
      <c r="DP22" s="169"/>
      <c r="DQ22" s="169"/>
      <c r="DR22" s="169"/>
      <c r="DS22" s="169"/>
      <c r="DT22" s="169"/>
      <c r="DU22" s="169"/>
      <c r="DV22" s="169"/>
      <c r="DW22" s="169"/>
      <c r="DX22" s="169"/>
      <c r="DY22" s="169"/>
      <c r="DZ22" s="169"/>
      <c r="EA22" s="169"/>
      <c r="EB22" s="169"/>
      <c r="EC22" s="169"/>
      <c r="ED22" s="169"/>
      <c r="EE22" s="169"/>
      <c r="EF22" s="169"/>
      <c r="EG22" s="169"/>
      <c r="EH22" s="169"/>
      <c r="EI22" s="169"/>
      <c r="EJ22" s="169"/>
      <c r="EK22" s="169"/>
      <c r="EL22" s="169"/>
      <c r="EM22" s="169"/>
      <c r="EN22" s="169"/>
    </row>
    <row r="23" spans="1:144" s="235" customFormat="1" ht="11.25" customHeight="1">
      <c r="A23" s="234" t="s">
        <v>201</v>
      </c>
      <c r="E23" s="236"/>
      <c r="F23" s="237"/>
      <c r="G23" s="237"/>
      <c r="H23" s="238">
        <f>SUM(H8:H21)</f>
        <v>223.35485999999997</v>
      </c>
      <c r="I23" s="239"/>
      <c r="J23" s="240"/>
      <c r="K23" s="241"/>
      <c r="L23" s="238">
        <f>SUM(L8:L21)</f>
        <v>324.55999999999995</v>
      </c>
      <c r="M23" s="274">
        <f>SUM(M8:M21)</f>
        <v>32.4</v>
      </c>
      <c r="N23" s="239"/>
      <c r="O23" s="238">
        <f>SUM(O8:O21)</f>
        <v>343.44000000000005</v>
      </c>
      <c r="P23" s="238">
        <f>SUM(P8:P21)</f>
        <v>891.35486</v>
      </c>
      <c r="Q23" s="233">
        <f>P23</f>
        <v>891.35486</v>
      </c>
      <c r="R23" s="334"/>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row>
    <row r="24" spans="1:18" ht="11.25" customHeight="1">
      <c r="A24" s="171"/>
      <c r="E24" s="147"/>
      <c r="F24" s="148"/>
      <c r="G24" s="148"/>
      <c r="H24" s="151"/>
      <c r="I24" s="172"/>
      <c r="J24" s="150"/>
      <c r="K24" s="147"/>
      <c r="L24" s="151"/>
      <c r="M24" s="148"/>
      <c r="N24" s="151"/>
      <c r="O24" s="151"/>
      <c r="P24" s="152"/>
      <c r="Q24" s="152"/>
      <c r="R24" s="120"/>
    </row>
    <row r="25" spans="1:18" ht="12">
      <c r="A25" s="207" t="s">
        <v>143</v>
      </c>
      <c r="B25" s="13"/>
      <c r="C25" s="13"/>
      <c r="D25" s="13"/>
      <c r="E25" s="201"/>
      <c r="F25" s="202"/>
      <c r="G25" s="202"/>
      <c r="H25" s="198"/>
      <c r="I25" s="172"/>
      <c r="J25" s="200"/>
      <c r="K25" s="201"/>
      <c r="L25" s="198"/>
      <c r="M25" s="202"/>
      <c r="N25" s="198"/>
      <c r="O25" s="198"/>
      <c r="P25" s="208"/>
      <c r="Q25" s="206"/>
      <c r="R25" s="60"/>
    </row>
    <row r="26" spans="1:18" ht="12">
      <c r="A26" s="153" t="s">
        <v>33</v>
      </c>
      <c r="B26" s="13"/>
      <c r="C26" s="13"/>
      <c r="D26" s="13"/>
      <c r="E26" s="201"/>
      <c r="F26" s="205"/>
      <c r="G26" s="205"/>
      <c r="H26" s="198" t="s">
        <v>2</v>
      </c>
      <c r="I26" s="172"/>
      <c r="J26" s="200"/>
      <c r="K26" s="204"/>
      <c r="L26" s="203"/>
      <c r="M26" s="205"/>
      <c r="N26" s="198"/>
      <c r="O26" s="198"/>
      <c r="P26" s="198"/>
      <c r="Q26" s="178"/>
      <c r="R26" s="60"/>
    </row>
    <row r="27" spans="1:18" ht="12" outlineLevel="1">
      <c r="A27" s="13" t="s">
        <v>144</v>
      </c>
      <c r="B27" s="13" t="s">
        <v>327</v>
      </c>
      <c r="C27" s="13"/>
      <c r="D27" s="13"/>
      <c r="E27" s="204" t="s">
        <v>328</v>
      </c>
      <c r="F27" s="365">
        <v>2</v>
      </c>
      <c r="G27" s="205">
        <f>Machinery!U5+Machinery!U7</f>
        <v>16.821453333333334</v>
      </c>
      <c r="H27" s="198">
        <f>G27*F27</f>
        <v>33.64290666666667</v>
      </c>
      <c r="I27" s="198"/>
      <c r="J27" s="200"/>
      <c r="K27" s="201"/>
      <c r="L27" s="198"/>
      <c r="M27" s="205">
        <f>F27*1.2</f>
        <v>2.4</v>
      </c>
      <c r="N27" s="337">
        <f>Assumptions!G29</f>
        <v>10.6</v>
      </c>
      <c r="O27" s="198">
        <f aca="true" t="shared" si="2" ref="O27:O32">+N27*M27</f>
        <v>25.439999999999998</v>
      </c>
      <c r="P27" s="198">
        <f aca="true" t="shared" si="3" ref="P27:P38">O27+L27+H27</f>
        <v>59.082906666666666</v>
      </c>
      <c r="Q27" s="178"/>
      <c r="R27" s="60"/>
    </row>
    <row r="28" spans="1:18" ht="12" outlineLevel="1">
      <c r="A28" s="13" t="s">
        <v>144</v>
      </c>
      <c r="B28" s="13" t="s">
        <v>199</v>
      </c>
      <c r="C28" s="13"/>
      <c r="D28" s="13"/>
      <c r="E28" s="6" t="s">
        <v>124</v>
      </c>
      <c r="F28" s="365">
        <v>6</v>
      </c>
      <c r="G28" s="202">
        <f>Machinery!U5+Machinery!U15</f>
        <v>18.135793333333332</v>
      </c>
      <c r="H28" s="198">
        <f>G28*F28</f>
        <v>108.81475999999999</v>
      </c>
      <c r="I28" s="198"/>
      <c r="J28" s="200"/>
      <c r="K28" s="201"/>
      <c r="L28" s="198"/>
      <c r="M28" s="205">
        <f>F28*1.2</f>
        <v>7.199999999999999</v>
      </c>
      <c r="N28" s="337">
        <f>Assumptions!G29</f>
        <v>10.6</v>
      </c>
      <c r="O28" s="198">
        <f t="shared" si="2"/>
        <v>76.32</v>
      </c>
      <c r="P28" s="198">
        <f t="shared" si="3"/>
        <v>185.13475999999997</v>
      </c>
      <c r="Q28" s="178"/>
      <c r="R28" s="60"/>
    </row>
    <row r="29" spans="1:18" ht="12" outlineLevel="1">
      <c r="A29" s="13" t="s">
        <v>140</v>
      </c>
      <c r="B29" s="13" t="s">
        <v>145</v>
      </c>
      <c r="C29" s="13"/>
      <c r="D29" s="13"/>
      <c r="E29" s="6" t="s">
        <v>123</v>
      </c>
      <c r="F29" s="365">
        <v>1.5</v>
      </c>
      <c r="G29" s="202">
        <f>Machinery!U5+Machinery!U12</f>
        <v>14.17924</v>
      </c>
      <c r="H29" s="198">
        <f>G29*F29</f>
        <v>21.26886</v>
      </c>
      <c r="I29" s="198"/>
      <c r="J29" s="200"/>
      <c r="K29" s="201"/>
      <c r="L29" s="198"/>
      <c r="M29" s="202">
        <f>+F29*1.2</f>
        <v>1.7999999999999998</v>
      </c>
      <c r="N29" s="337">
        <f>Assumptions!G29</f>
        <v>10.6</v>
      </c>
      <c r="O29" s="198">
        <f t="shared" si="2"/>
        <v>19.08</v>
      </c>
      <c r="P29" s="198">
        <f t="shared" si="3"/>
        <v>40.34886</v>
      </c>
      <c r="Q29" s="178"/>
      <c r="R29" s="60"/>
    </row>
    <row r="30" spans="1:18" ht="12" outlineLevel="1">
      <c r="A30" s="13" t="s">
        <v>140</v>
      </c>
      <c r="B30" s="13" t="s">
        <v>200</v>
      </c>
      <c r="C30" s="13"/>
      <c r="D30" s="13"/>
      <c r="E30" s="6" t="s">
        <v>192</v>
      </c>
      <c r="F30" s="366">
        <v>1</v>
      </c>
      <c r="G30" s="202">
        <f>Machinery!U5+Machinery!U11</f>
        <v>18.742626666666666</v>
      </c>
      <c r="H30" s="198">
        <f>G30*F30</f>
        <v>18.742626666666666</v>
      </c>
      <c r="I30" s="198"/>
      <c r="J30" s="200"/>
      <c r="K30" s="201"/>
      <c r="L30" s="198"/>
      <c r="M30" s="202">
        <f>+F30*1.2</f>
        <v>1.2</v>
      </c>
      <c r="N30" s="337">
        <f>Assumptions!G29</f>
        <v>10.6</v>
      </c>
      <c r="O30" s="198">
        <f t="shared" si="2"/>
        <v>12.719999999999999</v>
      </c>
      <c r="P30" s="198">
        <f t="shared" si="3"/>
        <v>31.462626666666665</v>
      </c>
      <c r="Q30" s="178"/>
      <c r="R30" s="60"/>
    </row>
    <row r="31" spans="1:18" ht="12" outlineLevel="1">
      <c r="A31" s="13" t="s">
        <v>146</v>
      </c>
      <c r="B31" s="13" t="s">
        <v>329</v>
      </c>
      <c r="C31" s="13"/>
      <c r="D31" s="13"/>
      <c r="E31" s="201" t="s">
        <v>139</v>
      </c>
      <c r="F31" s="268"/>
      <c r="G31" s="202"/>
      <c r="H31" s="198"/>
      <c r="I31" s="203"/>
      <c r="J31" s="215"/>
      <c r="K31" s="214"/>
      <c r="L31" s="198"/>
      <c r="M31" s="365">
        <v>6</v>
      </c>
      <c r="N31" s="337">
        <f>Assumptions!G29</f>
        <v>10.6</v>
      </c>
      <c r="O31" s="198">
        <f t="shared" si="2"/>
        <v>63.599999999999994</v>
      </c>
      <c r="P31" s="198">
        <f t="shared" si="3"/>
        <v>63.599999999999994</v>
      </c>
      <c r="Q31" s="178"/>
      <c r="R31" s="60"/>
    </row>
    <row r="32" spans="1:18" ht="12" outlineLevel="1">
      <c r="A32" s="13"/>
      <c r="B32" s="13"/>
      <c r="C32" s="13"/>
      <c r="D32" s="13"/>
      <c r="E32" s="201"/>
      <c r="F32" s="268"/>
      <c r="G32" s="202"/>
      <c r="H32" s="198"/>
      <c r="I32" s="203"/>
      <c r="J32" s="215"/>
      <c r="K32" s="214"/>
      <c r="L32" s="198"/>
      <c r="M32" s="365">
        <v>6</v>
      </c>
      <c r="N32" s="337">
        <f>Assumptions!G28</f>
        <v>14</v>
      </c>
      <c r="O32" s="198">
        <f t="shared" si="2"/>
        <v>84</v>
      </c>
      <c r="P32" s="198">
        <f t="shared" si="3"/>
        <v>84</v>
      </c>
      <c r="Q32" s="178"/>
      <c r="R32" s="60"/>
    </row>
    <row r="33" spans="1:18" ht="12" outlineLevel="1">
      <c r="A33" s="336" t="s">
        <v>146</v>
      </c>
      <c r="B33" s="13" t="s">
        <v>330</v>
      </c>
      <c r="C33" s="13"/>
      <c r="D33" s="13"/>
      <c r="E33" s="201" t="s">
        <v>139</v>
      </c>
      <c r="F33" s="268"/>
      <c r="G33" s="202"/>
      <c r="H33" s="198"/>
      <c r="I33" s="203"/>
      <c r="J33" s="215"/>
      <c r="K33" s="214"/>
      <c r="L33" s="198"/>
      <c r="M33" s="365">
        <v>1</v>
      </c>
      <c r="N33" s="337">
        <f>Assumptions!G28</f>
        <v>14</v>
      </c>
      <c r="O33" s="198">
        <f>+N33*M33</f>
        <v>14</v>
      </c>
      <c r="P33" s="198">
        <f>O33+L33+H33</f>
        <v>14</v>
      </c>
      <c r="Q33" s="178"/>
      <c r="R33" s="60"/>
    </row>
    <row r="34" spans="1:18" ht="12" outlineLevel="1">
      <c r="A34" s="336" t="s">
        <v>2</v>
      </c>
      <c r="B34" s="13" t="s">
        <v>2</v>
      </c>
      <c r="C34" s="13" t="s">
        <v>348</v>
      </c>
      <c r="D34" s="13"/>
      <c r="E34" s="201" t="s">
        <v>2</v>
      </c>
      <c r="F34" s="268"/>
      <c r="G34" s="202"/>
      <c r="H34" s="198"/>
      <c r="I34" s="367">
        <v>8.5</v>
      </c>
      <c r="J34" s="370" t="s">
        <v>332</v>
      </c>
      <c r="K34" s="369">
        <v>23.92</v>
      </c>
      <c r="L34" s="198">
        <f>+K34*I34</f>
        <v>203.32000000000002</v>
      </c>
      <c r="M34" s="202"/>
      <c r="N34" s="198"/>
      <c r="O34" s="198"/>
      <c r="P34" s="198">
        <f t="shared" si="3"/>
        <v>203.32000000000002</v>
      </c>
      <c r="Q34" s="178"/>
      <c r="R34" s="60"/>
    </row>
    <row r="35" spans="1:18" ht="12" outlineLevel="1">
      <c r="A35" s="13"/>
      <c r="B35" s="13"/>
      <c r="C35" s="13" t="s">
        <v>331</v>
      </c>
      <c r="D35" s="13"/>
      <c r="E35" s="201"/>
      <c r="F35" s="268"/>
      <c r="G35" s="202"/>
      <c r="H35" s="198"/>
      <c r="I35" s="367">
        <v>0.04</v>
      </c>
      <c r="J35" s="370" t="s">
        <v>343</v>
      </c>
      <c r="K35" s="264">
        <f>Assumptions!G5*1.02*1.05</f>
        <v>16065</v>
      </c>
      <c r="L35" s="198">
        <f>+K35*I35</f>
        <v>642.6</v>
      </c>
      <c r="M35" s="202"/>
      <c r="N35" s="198"/>
      <c r="O35" s="198"/>
      <c r="P35" s="198">
        <f t="shared" si="3"/>
        <v>642.6</v>
      </c>
      <c r="Q35" s="178"/>
      <c r="R35" s="60"/>
    </row>
    <row r="36" spans="1:18" ht="12" outlineLevel="1">
      <c r="A36" s="13"/>
      <c r="B36" s="13"/>
      <c r="C36" s="363" t="s">
        <v>333</v>
      </c>
      <c r="D36" s="363"/>
      <c r="E36" s="201"/>
      <c r="F36" s="268"/>
      <c r="G36" s="202"/>
      <c r="H36" s="198"/>
      <c r="I36" s="367">
        <v>2.12</v>
      </c>
      <c r="J36" s="370" t="s">
        <v>35</v>
      </c>
      <c r="K36" s="369">
        <v>8</v>
      </c>
      <c r="L36" s="198">
        <f>+K36*I36</f>
        <v>16.96</v>
      </c>
      <c r="M36" s="202"/>
      <c r="N36" s="198"/>
      <c r="O36" s="198"/>
      <c r="P36" s="198">
        <f t="shared" si="3"/>
        <v>16.96</v>
      </c>
      <c r="Q36" s="178"/>
      <c r="R36" s="60"/>
    </row>
    <row r="37" spans="1:18" ht="12" outlineLevel="1">
      <c r="A37" s="13"/>
      <c r="B37" s="13"/>
      <c r="C37" s="363" t="s">
        <v>334</v>
      </c>
      <c r="D37" s="363"/>
      <c r="E37" s="201"/>
      <c r="F37" s="268"/>
      <c r="G37" s="202"/>
      <c r="H37" s="198"/>
      <c r="I37" s="367">
        <v>29.95</v>
      </c>
      <c r="J37" s="370" t="s">
        <v>344</v>
      </c>
      <c r="K37" s="369">
        <v>3.3</v>
      </c>
      <c r="L37" s="198">
        <f>+K37*I37</f>
        <v>98.835</v>
      </c>
      <c r="M37" s="202"/>
      <c r="N37" s="198"/>
      <c r="O37" s="198"/>
      <c r="P37" s="198">
        <f>O37+L37+H37</f>
        <v>98.835</v>
      </c>
      <c r="Q37" s="178"/>
      <c r="R37" s="60"/>
    </row>
    <row r="38" spans="1:18" ht="12" outlineLevel="1">
      <c r="A38" s="13"/>
      <c r="B38" s="13"/>
      <c r="C38" s="363" t="s">
        <v>342</v>
      </c>
      <c r="D38" s="363"/>
      <c r="E38" s="201"/>
      <c r="F38" s="268"/>
      <c r="G38" s="202"/>
      <c r="H38" s="198"/>
      <c r="I38" s="367">
        <v>0</v>
      </c>
      <c r="J38" s="368" t="s">
        <v>2</v>
      </c>
      <c r="K38" s="369">
        <v>0</v>
      </c>
      <c r="L38" s="263">
        <f>+K38*I38</f>
        <v>0</v>
      </c>
      <c r="M38" s="202"/>
      <c r="N38" s="198"/>
      <c r="O38" s="198"/>
      <c r="P38" s="198">
        <f t="shared" si="3"/>
        <v>0</v>
      </c>
      <c r="Q38" s="178"/>
      <c r="R38" s="60"/>
    </row>
    <row r="39" spans="1:18" ht="12" outlineLevel="1">
      <c r="A39" s="13" t="s">
        <v>149</v>
      </c>
      <c r="B39" s="13" t="s">
        <v>335</v>
      </c>
      <c r="C39" s="13"/>
      <c r="D39" s="13"/>
      <c r="E39" s="201" t="s">
        <v>139</v>
      </c>
      <c r="F39" s="268"/>
      <c r="G39" s="202"/>
      <c r="H39" s="198"/>
      <c r="I39" s="203"/>
      <c r="J39" s="215"/>
      <c r="K39" s="214"/>
      <c r="L39" s="198"/>
      <c r="M39" s="365">
        <v>1</v>
      </c>
      <c r="N39" s="337">
        <f>Assumptions!G29</f>
        <v>10.6</v>
      </c>
      <c r="O39" s="198">
        <f>+N39*M39</f>
        <v>10.6</v>
      </c>
      <c r="P39" s="198">
        <f>O39+L39+H39</f>
        <v>10.6</v>
      </c>
      <c r="Q39" s="178"/>
      <c r="R39" s="60"/>
    </row>
    <row r="40" spans="1:18" ht="12" outlineLevel="1">
      <c r="A40" s="13" t="s">
        <v>149</v>
      </c>
      <c r="B40" s="13" t="s">
        <v>336</v>
      </c>
      <c r="C40" s="13"/>
      <c r="D40" s="13"/>
      <c r="E40" s="201" t="s">
        <v>139</v>
      </c>
      <c r="F40" s="268"/>
      <c r="G40" s="202"/>
      <c r="H40" s="198"/>
      <c r="I40" s="367">
        <v>85</v>
      </c>
      <c r="J40" s="370">
        <v>1000</v>
      </c>
      <c r="K40" s="264">
        <f>Assumptions!G5*1.02*1.05/1000</f>
        <v>16.065</v>
      </c>
      <c r="L40" s="198">
        <f>+K40*I40</f>
        <v>1365.525</v>
      </c>
      <c r="M40" s="365">
        <f>K40*1000/480</f>
        <v>33.46875000000001</v>
      </c>
      <c r="N40" s="337">
        <f>Assumptions!G29</f>
        <v>10.6</v>
      </c>
      <c r="O40" s="198">
        <f>+N40*M40</f>
        <v>354.76875000000007</v>
      </c>
      <c r="P40" s="198">
        <f>O40+L40+H40</f>
        <v>1720.2937500000003</v>
      </c>
      <c r="Q40" s="178"/>
      <c r="R40" s="60"/>
    </row>
    <row r="41" spans="1:144" s="177" customFormat="1" ht="12">
      <c r="A41" s="227" t="s">
        <v>147</v>
      </c>
      <c r="B41" s="227"/>
      <c r="C41" s="227"/>
      <c r="D41" s="227"/>
      <c r="E41" s="227"/>
      <c r="F41" s="227"/>
      <c r="G41" s="227"/>
      <c r="H41" s="230">
        <f>SUM(H27:H40)</f>
        <v>182.4691533333333</v>
      </c>
      <c r="I41" s="230"/>
      <c r="J41" s="227"/>
      <c r="K41" s="228"/>
      <c r="L41" s="230">
        <f>SUM(L27:L40)</f>
        <v>2327.2400000000002</v>
      </c>
      <c r="M41" s="260">
        <f>SUM(M27:M40)</f>
        <v>60.06875000000001</v>
      </c>
      <c r="N41" s="227"/>
      <c r="O41" s="230">
        <f>SUM(O27:O40)</f>
        <v>660.5287500000001</v>
      </c>
      <c r="P41" s="230">
        <f>SUM(P27:P40)</f>
        <v>3170.2379033333336</v>
      </c>
      <c r="Q41" s="230">
        <f>P41+Q22</f>
        <v>4061.5927633333336</v>
      </c>
      <c r="R41" s="60"/>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69"/>
      <c r="CL41" s="169"/>
      <c r="CM41" s="169"/>
      <c r="CN41" s="169"/>
      <c r="CO41" s="169"/>
      <c r="CP41" s="169"/>
      <c r="CQ41" s="169"/>
      <c r="CR41" s="169"/>
      <c r="CS41" s="169"/>
      <c r="CT41" s="169"/>
      <c r="CU41" s="169"/>
      <c r="CV41" s="169"/>
      <c r="CW41" s="169"/>
      <c r="CX41" s="169"/>
      <c r="CY41" s="169"/>
      <c r="CZ41" s="169"/>
      <c r="DA41" s="169"/>
      <c r="DB41" s="169"/>
      <c r="DC41" s="169"/>
      <c r="DD41" s="169"/>
      <c r="DE41" s="169"/>
      <c r="DF41" s="169"/>
      <c r="DG41" s="169"/>
      <c r="DH41" s="169"/>
      <c r="DI41" s="169"/>
      <c r="DJ41" s="169"/>
      <c r="DK41" s="169"/>
      <c r="DL41" s="169"/>
      <c r="DM41" s="169"/>
      <c r="DN41" s="169"/>
      <c r="DO41" s="169"/>
      <c r="DP41" s="169"/>
      <c r="DQ41" s="169"/>
      <c r="DR41" s="169"/>
      <c r="DS41" s="169"/>
      <c r="DT41" s="169"/>
      <c r="DU41" s="169"/>
      <c r="DV41" s="169"/>
      <c r="DW41" s="169"/>
      <c r="DX41" s="169"/>
      <c r="DY41" s="169"/>
      <c r="DZ41" s="169"/>
      <c r="EA41" s="169"/>
      <c r="EB41" s="169"/>
      <c r="EC41" s="169"/>
      <c r="ED41" s="169"/>
      <c r="EE41" s="169"/>
      <c r="EF41" s="169"/>
      <c r="EG41" s="169"/>
      <c r="EH41" s="169"/>
      <c r="EI41" s="169"/>
      <c r="EJ41" s="169"/>
      <c r="EK41" s="169"/>
      <c r="EL41" s="169"/>
      <c r="EM41" s="169"/>
      <c r="EN41" s="169"/>
    </row>
    <row r="42" spans="1:18" ht="12">
      <c r="A42" s="153" t="s">
        <v>34</v>
      </c>
      <c r="B42" s="13"/>
      <c r="C42" s="13"/>
      <c r="D42" s="13"/>
      <c r="E42" s="201"/>
      <c r="F42" s="146"/>
      <c r="G42" s="202"/>
      <c r="H42" s="198" t="s">
        <v>2</v>
      </c>
      <c r="I42" s="198"/>
      <c r="J42" s="200"/>
      <c r="K42" s="201"/>
      <c r="L42" s="198"/>
      <c r="M42" s="146"/>
      <c r="N42" s="198"/>
      <c r="O42" s="198"/>
      <c r="P42" s="198"/>
      <c r="Q42" s="178"/>
      <c r="R42" s="60"/>
    </row>
    <row r="43" spans="1:18" ht="12" outlineLevel="1">
      <c r="A43" s="13" t="s">
        <v>337</v>
      </c>
      <c r="B43" s="13" t="s">
        <v>338</v>
      </c>
      <c r="C43" s="13"/>
      <c r="D43" s="13"/>
      <c r="E43" s="267" t="s">
        <v>339</v>
      </c>
      <c r="F43" s="366">
        <v>0.5</v>
      </c>
      <c r="G43" s="202">
        <f>Machinery!U17</f>
        <v>0.4285333333333333</v>
      </c>
      <c r="H43" s="198">
        <f>G43*F43</f>
        <v>0.21426666666666666</v>
      </c>
      <c r="I43" s="367">
        <v>0.72</v>
      </c>
      <c r="J43" s="371" t="s">
        <v>340</v>
      </c>
      <c r="K43" s="364">
        <v>1</v>
      </c>
      <c r="L43" s="198">
        <f>+K43*I43</f>
        <v>0.72</v>
      </c>
      <c r="M43" s="365">
        <v>24</v>
      </c>
      <c r="N43" s="337">
        <f>Assumptions!G29</f>
        <v>10.6</v>
      </c>
      <c r="O43" s="198">
        <f>+N43*M43</f>
        <v>254.39999999999998</v>
      </c>
      <c r="P43" s="198">
        <f>O43+L43+H43</f>
        <v>255.33426666666665</v>
      </c>
      <c r="Q43" s="178"/>
      <c r="R43" s="160"/>
    </row>
    <row r="44" spans="1:18" ht="12" outlineLevel="1">
      <c r="A44" s="13" t="s">
        <v>144</v>
      </c>
      <c r="B44" s="13" t="s">
        <v>204</v>
      </c>
      <c r="C44" s="13"/>
      <c r="D44" s="13"/>
      <c r="E44" s="201" t="s">
        <v>203</v>
      </c>
      <c r="F44" s="365">
        <v>0.108</v>
      </c>
      <c r="G44" s="202">
        <f>Machinery!U4</f>
        <v>7.897500000000001</v>
      </c>
      <c r="H44" s="198">
        <f>G44*F44</f>
        <v>0.8529300000000001</v>
      </c>
      <c r="I44" s="198"/>
      <c r="J44" s="200"/>
      <c r="K44" s="201"/>
      <c r="L44" s="198"/>
      <c r="M44" s="365">
        <v>12</v>
      </c>
      <c r="N44" s="337">
        <f>Assumptions!G29</f>
        <v>10.6</v>
      </c>
      <c r="O44" s="198">
        <f>+N44*M44</f>
        <v>127.19999999999999</v>
      </c>
      <c r="P44" s="198">
        <f aca="true" t="shared" si="4" ref="P44:P49">O44+L44+H44</f>
        <v>128.05292999999998</v>
      </c>
      <c r="Q44" s="178"/>
      <c r="R44" s="60"/>
    </row>
    <row r="45" spans="1:18" ht="12" outlineLevel="1">
      <c r="A45" s="13" t="s">
        <v>144</v>
      </c>
      <c r="B45" s="13" t="s">
        <v>384</v>
      </c>
      <c r="C45" s="13"/>
      <c r="D45" s="13"/>
      <c r="E45" s="6" t="s">
        <v>124</v>
      </c>
      <c r="F45" s="365">
        <v>3</v>
      </c>
      <c r="G45" s="202">
        <f>Machinery!U5+Machinery!U15</f>
        <v>18.135793333333332</v>
      </c>
      <c r="H45" s="198">
        <f>G45*F45</f>
        <v>54.407379999999996</v>
      </c>
      <c r="I45" s="198"/>
      <c r="J45" s="200"/>
      <c r="K45" s="201"/>
      <c r="L45" s="198"/>
      <c r="M45" s="202">
        <f>+F45*1.2</f>
        <v>3.5999999999999996</v>
      </c>
      <c r="N45" s="337">
        <f>Assumptions!G29</f>
        <v>10.6</v>
      </c>
      <c r="O45" s="198">
        <f>+N45*M45</f>
        <v>38.16</v>
      </c>
      <c r="P45" s="198">
        <f t="shared" si="4"/>
        <v>92.56737999999999</v>
      </c>
      <c r="Q45" s="178"/>
      <c r="R45" s="60"/>
    </row>
    <row r="46" spans="1:18" ht="12" outlineLevel="1">
      <c r="A46" s="13" t="s">
        <v>140</v>
      </c>
      <c r="B46" s="13" t="s">
        <v>382</v>
      </c>
      <c r="C46" s="13"/>
      <c r="D46" s="13"/>
      <c r="E46" s="201" t="s">
        <v>391</v>
      </c>
      <c r="F46" s="366">
        <v>3</v>
      </c>
      <c r="G46" s="202">
        <f>Machinery!U5+Machinery!U16</f>
        <v>31.685460000000003</v>
      </c>
      <c r="H46" s="198">
        <f>G46*F46</f>
        <v>95.05638</v>
      </c>
      <c r="I46" s="198"/>
      <c r="J46" s="200"/>
      <c r="K46" s="201"/>
      <c r="L46" s="198"/>
      <c r="M46" s="202">
        <f>+F46*1.2</f>
        <v>3.5999999999999996</v>
      </c>
      <c r="N46" s="337">
        <f>Assumptions!G28</f>
        <v>14</v>
      </c>
      <c r="O46" s="198">
        <f>+N46*M46</f>
        <v>50.39999999999999</v>
      </c>
      <c r="P46" s="198">
        <f t="shared" si="4"/>
        <v>145.45638</v>
      </c>
      <c r="Q46" s="178"/>
      <c r="R46" s="60"/>
    </row>
    <row r="47" spans="1:18" ht="12" outlineLevel="1">
      <c r="A47" s="13"/>
      <c r="B47" s="13"/>
      <c r="C47" s="363" t="s">
        <v>59</v>
      </c>
      <c r="D47" s="363"/>
      <c r="E47" s="201" t="s">
        <v>2</v>
      </c>
      <c r="F47" s="202"/>
      <c r="G47" s="202"/>
      <c r="H47" s="198"/>
      <c r="I47" s="367">
        <v>109.3</v>
      </c>
      <c r="J47" s="370" t="s">
        <v>41</v>
      </c>
      <c r="K47" s="369">
        <v>4</v>
      </c>
      <c r="L47" s="198">
        <f>+K47*I47</f>
        <v>437.2</v>
      </c>
      <c r="M47" s="202"/>
      <c r="N47" s="198"/>
      <c r="O47" s="198"/>
      <c r="P47" s="198">
        <f t="shared" si="4"/>
        <v>437.2</v>
      </c>
      <c r="Q47" s="178"/>
      <c r="R47" s="60"/>
    </row>
    <row r="48" spans="1:18" ht="12" outlineLevel="1">
      <c r="A48" s="13"/>
      <c r="B48" s="13"/>
      <c r="C48" s="363" t="s">
        <v>60</v>
      </c>
      <c r="D48" s="363"/>
      <c r="E48" s="201" t="s">
        <v>2</v>
      </c>
      <c r="F48" s="202"/>
      <c r="G48" s="202"/>
      <c r="H48" s="198"/>
      <c r="I48" s="367">
        <v>129.95</v>
      </c>
      <c r="J48" s="370" t="s">
        <v>42</v>
      </c>
      <c r="K48" s="369">
        <v>1.6</v>
      </c>
      <c r="L48" s="198">
        <f>+K48*I48</f>
        <v>207.92</v>
      </c>
      <c r="M48" s="202"/>
      <c r="N48" s="198"/>
      <c r="O48" s="198"/>
      <c r="P48" s="198">
        <f t="shared" si="4"/>
        <v>207.92</v>
      </c>
      <c r="Q48" s="178"/>
      <c r="R48" s="60"/>
    </row>
    <row r="49" spans="1:18" ht="12" outlineLevel="1">
      <c r="A49" s="13" t="s">
        <v>140</v>
      </c>
      <c r="B49" s="13" t="s">
        <v>205</v>
      </c>
      <c r="C49" s="13"/>
      <c r="D49" s="13"/>
      <c r="E49" s="201" t="s">
        <v>206</v>
      </c>
      <c r="F49" s="365">
        <v>0.75</v>
      </c>
      <c r="G49" s="202">
        <f>Machinery!U4+Machinery!U13</f>
        <v>9.111166666666668</v>
      </c>
      <c r="H49" s="198">
        <f>G49*F49</f>
        <v>6.833375</v>
      </c>
      <c r="I49" s="367">
        <v>0.4</v>
      </c>
      <c r="J49" s="370" t="s">
        <v>26</v>
      </c>
      <c r="K49" s="369">
        <v>20</v>
      </c>
      <c r="L49" s="198">
        <f>+K49*I49</f>
        <v>8</v>
      </c>
      <c r="M49" s="202">
        <f>+F49*1.2</f>
        <v>0.8999999999999999</v>
      </c>
      <c r="N49" s="337">
        <f>Assumptions!G29</f>
        <v>10.6</v>
      </c>
      <c r="O49" s="198">
        <f>+N49*M49</f>
        <v>9.54</v>
      </c>
      <c r="P49" s="198">
        <f t="shared" si="4"/>
        <v>24.373375</v>
      </c>
      <c r="Q49" s="178"/>
      <c r="R49" s="60"/>
    </row>
    <row r="50" spans="1:144" s="218" customFormat="1" ht="12" outlineLevel="1">
      <c r="A50" s="246" t="s">
        <v>202</v>
      </c>
      <c r="B50" s="224"/>
      <c r="C50" s="224"/>
      <c r="D50" s="224"/>
      <c r="E50" s="225"/>
      <c r="F50" s="226"/>
      <c r="G50" s="226"/>
      <c r="H50" s="238">
        <f>SUM(H27:H40)+SUM(H43:H49)</f>
        <v>339.833485</v>
      </c>
      <c r="I50" s="238"/>
      <c r="J50" s="249"/>
      <c r="K50" s="250"/>
      <c r="L50" s="238">
        <f>SUM(L27:L40)+SUM(L43:L49)</f>
        <v>2981.0800000000004</v>
      </c>
      <c r="M50" s="274">
        <f>SUM(M27:M40)+SUM(M43:M49)</f>
        <v>104.16875000000002</v>
      </c>
      <c r="N50" s="238"/>
      <c r="O50" s="238">
        <f>SUM(O27:O40)+SUM(O43:O49)</f>
        <v>1140.22875</v>
      </c>
      <c r="P50" s="238">
        <f>SUM(P27:P40)+SUM(P43:P49)</f>
        <v>4461.142235</v>
      </c>
      <c r="Q50" s="238">
        <f>Q23+P50</f>
        <v>5352.497095000001</v>
      </c>
      <c r="R50" s="60"/>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69"/>
      <c r="BR50" s="169"/>
      <c r="BS50" s="169"/>
      <c r="BT50" s="169"/>
      <c r="BU50" s="169"/>
      <c r="BV50" s="169"/>
      <c r="BW50" s="169"/>
      <c r="BX50" s="169"/>
      <c r="BY50" s="169"/>
      <c r="BZ50" s="169"/>
      <c r="CA50" s="169"/>
      <c r="CB50" s="169"/>
      <c r="CC50" s="169"/>
      <c r="CD50" s="169"/>
      <c r="CE50" s="169"/>
      <c r="CF50" s="169"/>
      <c r="CG50" s="169"/>
      <c r="CH50" s="169"/>
      <c r="CI50" s="169"/>
      <c r="CJ50" s="169"/>
      <c r="CK50" s="169"/>
      <c r="CL50" s="169"/>
      <c r="CM50" s="169"/>
      <c r="CN50" s="169"/>
      <c r="CO50" s="169"/>
      <c r="CP50" s="169"/>
      <c r="CQ50" s="169"/>
      <c r="CR50" s="169"/>
      <c r="CS50" s="169"/>
      <c r="CT50" s="169"/>
      <c r="CU50" s="169"/>
      <c r="CV50" s="169"/>
      <c r="CW50" s="169"/>
      <c r="CX50" s="169"/>
      <c r="CY50" s="169"/>
      <c r="CZ50" s="169"/>
      <c r="DA50" s="169"/>
      <c r="DB50" s="169"/>
      <c r="DC50" s="169"/>
      <c r="DD50" s="169"/>
      <c r="DE50" s="169"/>
      <c r="DF50" s="169"/>
      <c r="DG50" s="169"/>
      <c r="DH50" s="169"/>
      <c r="DI50" s="169"/>
      <c r="DJ50" s="169"/>
      <c r="DK50" s="169"/>
      <c r="DL50" s="169"/>
      <c r="DM50" s="169"/>
      <c r="DN50" s="169"/>
      <c r="DO50" s="169"/>
      <c r="DP50" s="169"/>
      <c r="DQ50" s="169"/>
      <c r="DR50" s="169"/>
      <c r="DS50" s="169"/>
      <c r="DT50" s="169"/>
      <c r="DU50" s="169"/>
      <c r="DV50" s="169"/>
      <c r="DW50" s="169"/>
      <c r="DX50" s="169"/>
      <c r="DY50" s="169"/>
      <c r="DZ50" s="169"/>
      <c r="EA50" s="169"/>
      <c r="EB50" s="169"/>
      <c r="EC50" s="169"/>
      <c r="ED50" s="169"/>
      <c r="EE50" s="169"/>
      <c r="EF50" s="169"/>
      <c r="EG50" s="169"/>
      <c r="EH50" s="169"/>
      <c r="EI50" s="169"/>
      <c r="EJ50" s="169"/>
      <c r="EK50" s="169"/>
      <c r="EL50" s="169"/>
      <c r="EM50" s="169"/>
      <c r="EN50" s="169"/>
    </row>
    <row r="51" spans="1:18" ht="12" outlineLevel="1">
      <c r="A51" s="13"/>
      <c r="B51" s="13"/>
      <c r="C51" s="13"/>
      <c r="D51" s="13"/>
      <c r="E51" s="201"/>
      <c r="F51" s="202"/>
      <c r="G51" s="202"/>
      <c r="H51" s="198"/>
      <c r="I51" s="203"/>
      <c r="J51" s="200"/>
      <c r="K51" s="201"/>
      <c r="L51" s="198"/>
      <c r="M51" s="202"/>
      <c r="N51" s="198"/>
      <c r="O51" s="198"/>
      <c r="P51" s="198"/>
      <c r="Q51" s="178"/>
      <c r="R51" s="60"/>
    </row>
    <row r="52" spans="1:18" ht="12" outlineLevel="1">
      <c r="A52" s="207" t="s">
        <v>148</v>
      </c>
      <c r="B52" s="13"/>
      <c r="C52" s="13"/>
      <c r="D52" s="13"/>
      <c r="E52" s="201"/>
      <c r="F52" s="202"/>
      <c r="G52" s="202"/>
      <c r="H52" s="198"/>
      <c r="I52" s="203"/>
      <c r="J52" s="200"/>
      <c r="K52" s="201"/>
      <c r="L52" s="198"/>
      <c r="M52" s="202"/>
      <c r="N52" s="198"/>
      <c r="O52" s="198"/>
      <c r="P52" s="198"/>
      <c r="Q52" s="178"/>
      <c r="R52" s="60"/>
    </row>
    <row r="53" spans="1:18" ht="12" outlineLevel="2">
      <c r="A53" s="13" t="s">
        <v>149</v>
      </c>
      <c r="B53" s="13" t="s">
        <v>150</v>
      </c>
      <c r="C53" s="13"/>
      <c r="D53" s="13"/>
      <c r="E53" s="201" t="s">
        <v>113</v>
      </c>
      <c r="F53" s="365">
        <v>6</v>
      </c>
      <c r="G53" s="202">
        <f>Machinery!U5</f>
        <v>13.88796</v>
      </c>
      <c r="H53" s="198">
        <f>G53*F53</f>
        <v>83.32776</v>
      </c>
      <c r="I53" s="203"/>
      <c r="J53" s="200" t="s">
        <v>2</v>
      </c>
      <c r="K53" s="209"/>
      <c r="L53" s="203"/>
      <c r="M53" s="365">
        <v>30</v>
      </c>
      <c r="N53" s="337">
        <f>Assumptions!G29</f>
        <v>10.6</v>
      </c>
      <c r="O53" s="198">
        <f>+N53*M53</f>
        <v>318</v>
      </c>
      <c r="P53" s="198">
        <f>O53+L53+H53</f>
        <v>401.32776</v>
      </c>
      <c r="Q53" s="178"/>
      <c r="R53" s="60"/>
    </row>
    <row r="54" spans="1:18" ht="12" outlineLevel="2">
      <c r="A54" s="13" t="s">
        <v>149</v>
      </c>
      <c r="B54" s="13" t="s">
        <v>207</v>
      </c>
      <c r="C54" s="13"/>
      <c r="D54" s="13" t="s">
        <v>2</v>
      </c>
      <c r="E54" s="201" t="s">
        <v>266</v>
      </c>
      <c r="F54" s="365">
        <v>9</v>
      </c>
      <c r="G54" s="268">
        <f>Machinery!U5+Machinery!V18</f>
        <v>26.816959999999998</v>
      </c>
      <c r="H54" s="198">
        <f>G54*F54</f>
        <v>241.35263999999998</v>
      </c>
      <c r="I54" s="203"/>
      <c r="J54" s="200"/>
      <c r="K54" s="209"/>
      <c r="L54" s="203"/>
      <c r="M54" s="202">
        <f>F54*1.2</f>
        <v>10.799999999999999</v>
      </c>
      <c r="N54" s="337">
        <f>Assumptions!G29</f>
        <v>10.6</v>
      </c>
      <c r="O54" s="198">
        <f>+N54*M54</f>
        <v>114.47999999999999</v>
      </c>
      <c r="P54" s="198">
        <f>O54+L54+H54</f>
        <v>355.83263999999997</v>
      </c>
      <c r="Q54" s="178"/>
      <c r="R54" s="60"/>
    </row>
    <row r="55" spans="1:144" s="177" customFormat="1" ht="12" outlineLevel="1">
      <c r="A55" s="227" t="s">
        <v>151</v>
      </c>
      <c r="B55" s="227"/>
      <c r="C55" s="227"/>
      <c r="D55" s="227"/>
      <c r="E55" s="228"/>
      <c r="F55" s="229"/>
      <c r="G55" s="229"/>
      <c r="H55" s="230">
        <f>SUM(H43:H54)-H50</f>
        <v>482.0447316666666</v>
      </c>
      <c r="I55" s="230"/>
      <c r="J55" s="231"/>
      <c r="K55" s="243"/>
      <c r="L55" s="230">
        <f>SUM(L43:L54)-L50</f>
        <v>653.8400000000001</v>
      </c>
      <c r="M55" s="260">
        <f>SUM(M43:M54)-M50</f>
        <v>84.9</v>
      </c>
      <c r="N55" s="230"/>
      <c r="O55" s="230">
        <f>SUM(O43:O54)-O50</f>
        <v>912.1800000000001</v>
      </c>
      <c r="P55" s="230">
        <f>SUM(P43:P54)-P50</f>
        <v>2048.0647316666664</v>
      </c>
      <c r="Q55" s="230">
        <f>Q41+P55</f>
        <v>6109.6574949999995</v>
      </c>
      <c r="R55" s="60"/>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c r="BU55" s="169"/>
      <c r="BV55" s="169"/>
      <c r="BW55" s="169"/>
      <c r="BX55" s="169"/>
      <c r="BY55" s="169"/>
      <c r="BZ55" s="169"/>
      <c r="CA55" s="169"/>
      <c r="CB55" s="169"/>
      <c r="CC55" s="169"/>
      <c r="CD55" s="169"/>
      <c r="CE55" s="169"/>
      <c r="CF55" s="169"/>
      <c r="CG55" s="169"/>
      <c r="CH55" s="169"/>
      <c r="CI55" s="169"/>
      <c r="CJ55" s="169"/>
      <c r="CK55" s="169"/>
      <c r="CL55" s="169"/>
      <c r="CM55" s="169"/>
      <c r="CN55" s="169"/>
      <c r="CO55" s="169"/>
      <c r="CP55" s="169"/>
      <c r="CQ55" s="169"/>
      <c r="CR55" s="169"/>
      <c r="CS55" s="169"/>
      <c r="CT55" s="169"/>
      <c r="CU55" s="169"/>
      <c r="CV55" s="169"/>
      <c r="CW55" s="169"/>
      <c r="CX55" s="169"/>
      <c r="CY55" s="169"/>
      <c r="CZ55" s="169"/>
      <c r="DA55" s="169"/>
      <c r="DB55" s="169"/>
      <c r="DC55" s="169"/>
      <c r="DD55" s="169"/>
      <c r="DE55" s="169"/>
      <c r="DF55" s="169"/>
      <c r="DG55" s="169"/>
      <c r="DH55" s="169"/>
      <c r="DI55" s="169"/>
      <c r="DJ55" s="169"/>
      <c r="DK55" s="169"/>
      <c r="DL55" s="169"/>
      <c r="DM55" s="169"/>
      <c r="DN55" s="169"/>
      <c r="DO55" s="169"/>
      <c r="DP55" s="169"/>
      <c r="DQ55" s="169"/>
      <c r="DR55" s="169"/>
      <c r="DS55" s="169"/>
      <c r="DT55" s="169"/>
      <c r="DU55" s="169"/>
      <c r="DV55" s="169"/>
      <c r="DW55" s="169"/>
      <c r="DX55" s="169"/>
      <c r="DY55" s="169"/>
      <c r="DZ55" s="169"/>
      <c r="EA55" s="169"/>
      <c r="EB55" s="169"/>
      <c r="EC55" s="169"/>
      <c r="ED55" s="169"/>
      <c r="EE55" s="169"/>
      <c r="EF55" s="169"/>
      <c r="EG55" s="169"/>
      <c r="EH55" s="169"/>
      <c r="EI55" s="169"/>
      <c r="EJ55" s="169"/>
      <c r="EK55" s="169"/>
      <c r="EL55" s="169"/>
      <c r="EM55" s="169"/>
      <c r="EN55" s="169"/>
    </row>
    <row r="56" spans="1:18" ht="12" outlineLevel="1">
      <c r="A56" s="153" t="s">
        <v>16</v>
      </c>
      <c r="B56" s="13"/>
      <c r="C56" s="13"/>
      <c r="D56" s="13"/>
      <c r="E56" s="201"/>
      <c r="F56" s="202"/>
      <c r="G56" s="202"/>
      <c r="H56" s="198" t="s">
        <v>2</v>
      </c>
      <c r="I56" s="198"/>
      <c r="J56" s="200"/>
      <c r="K56" s="201"/>
      <c r="L56" s="198"/>
      <c r="M56" s="202"/>
      <c r="N56" s="198"/>
      <c r="O56" s="198"/>
      <c r="P56" s="198"/>
      <c r="Q56" s="178"/>
      <c r="R56" s="60"/>
    </row>
    <row r="57" spans="1:18" ht="12" outlineLevel="2">
      <c r="A57" s="13" t="s">
        <v>144</v>
      </c>
      <c r="B57" s="13" t="s">
        <v>152</v>
      </c>
      <c r="C57" s="13"/>
      <c r="D57" s="13"/>
      <c r="E57" s="201" t="s">
        <v>139</v>
      </c>
      <c r="F57" s="202"/>
      <c r="G57" s="202"/>
      <c r="H57" s="198"/>
      <c r="I57" s="198"/>
      <c r="J57" s="200"/>
      <c r="K57" s="201"/>
      <c r="L57" s="198"/>
      <c r="M57" s="365">
        <v>1.5</v>
      </c>
      <c r="N57" s="337">
        <f>Assumptions!G29</f>
        <v>10.6</v>
      </c>
      <c r="O57" s="198">
        <f aca="true" t="shared" si="5" ref="O57:O64">+N57*M57</f>
        <v>15.899999999999999</v>
      </c>
      <c r="P57" s="198">
        <f aca="true" t="shared" si="6" ref="P57:P64">O57+L57+H57</f>
        <v>15.899999999999999</v>
      </c>
      <c r="Q57" s="178"/>
      <c r="R57" s="60"/>
    </row>
    <row r="58" spans="1:18" ht="12" outlineLevel="2">
      <c r="A58" s="13" t="s">
        <v>144</v>
      </c>
      <c r="B58" s="13" t="s">
        <v>182</v>
      </c>
      <c r="C58" s="13"/>
      <c r="D58" s="13"/>
      <c r="E58" s="201" t="s">
        <v>208</v>
      </c>
      <c r="F58" s="365">
        <v>2</v>
      </c>
      <c r="G58" s="268">
        <f>Machinery!V19</f>
        <v>7.206266666666667</v>
      </c>
      <c r="H58" s="198">
        <f>G58*F58</f>
        <v>14.412533333333334</v>
      </c>
      <c r="I58" s="198"/>
      <c r="J58" s="200"/>
      <c r="K58" s="201"/>
      <c r="L58" s="198"/>
      <c r="M58" s="365">
        <v>0.2</v>
      </c>
      <c r="N58" s="337">
        <f>Assumptions!G28</f>
        <v>14</v>
      </c>
      <c r="O58" s="198">
        <f t="shared" si="5"/>
        <v>2.8000000000000003</v>
      </c>
      <c r="P58" s="198">
        <f t="shared" si="6"/>
        <v>17.212533333333333</v>
      </c>
      <c r="Q58" s="178"/>
      <c r="R58" s="60"/>
    </row>
    <row r="59" spans="1:18" ht="12" outlineLevel="2">
      <c r="A59" s="13" t="s">
        <v>140</v>
      </c>
      <c r="B59" s="13" t="s">
        <v>351</v>
      </c>
      <c r="C59" s="13"/>
      <c r="D59" s="13"/>
      <c r="E59" s="201" t="s">
        <v>264</v>
      </c>
      <c r="F59" s="365">
        <v>2</v>
      </c>
      <c r="G59" s="268">
        <f>Machinery!U17+Machinery!V19</f>
        <v>7.6348</v>
      </c>
      <c r="H59" s="198">
        <f>G59*F59</f>
        <v>15.2696</v>
      </c>
      <c r="I59" s="198"/>
      <c r="J59" s="200"/>
      <c r="K59" s="201"/>
      <c r="L59" s="198"/>
      <c r="M59" s="365">
        <v>1</v>
      </c>
      <c r="N59" s="337">
        <f>Assumptions!G28</f>
        <v>14</v>
      </c>
      <c r="O59" s="198">
        <f t="shared" si="5"/>
        <v>14</v>
      </c>
      <c r="P59" s="198">
        <f t="shared" si="6"/>
        <v>29.2696</v>
      </c>
      <c r="Q59" s="178"/>
      <c r="R59" s="60"/>
    </row>
    <row r="60" spans="1:18" ht="12" outlineLevel="2">
      <c r="A60" s="13"/>
      <c r="B60" s="13"/>
      <c r="C60" s="363" t="s">
        <v>213</v>
      </c>
      <c r="D60" s="363"/>
      <c r="E60" s="201"/>
      <c r="F60" s="268"/>
      <c r="G60" s="268"/>
      <c r="H60" s="198"/>
      <c r="I60" s="367">
        <v>125</v>
      </c>
      <c r="J60" s="370" t="s">
        <v>114</v>
      </c>
      <c r="K60" s="369">
        <v>0.5</v>
      </c>
      <c r="L60" s="263">
        <f>+K60*I60</f>
        <v>62.5</v>
      </c>
      <c r="M60" s="268"/>
      <c r="N60" s="337"/>
      <c r="O60" s="198"/>
      <c r="P60" s="198">
        <f>O60+L60+H60</f>
        <v>62.5</v>
      </c>
      <c r="Q60" s="178"/>
      <c r="R60" s="60"/>
    </row>
    <row r="61" spans="1:18" ht="12" outlineLevel="2">
      <c r="A61" s="13" t="s">
        <v>146</v>
      </c>
      <c r="B61" s="13" t="s">
        <v>349</v>
      </c>
      <c r="C61" s="13"/>
      <c r="D61" s="13"/>
      <c r="E61" s="6" t="s">
        <v>189</v>
      </c>
      <c r="F61" s="365">
        <v>0.65</v>
      </c>
      <c r="G61" s="202">
        <f>Machinery!U5+Machinery!U9</f>
        <v>20.65756</v>
      </c>
      <c r="H61" s="198">
        <f>G61*F61</f>
        <v>13.427414</v>
      </c>
      <c r="I61" s="198"/>
      <c r="J61" s="200"/>
      <c r="K61" s="201"/>
      <c r="L61" s="198"/>
      <c r="M61" s="202">
        <f>+F61*1.2</f>
        <v>0.78</v>
      </c>
      <c r="N61" s="337">
        <f>Assumptions!G29</f>
        <v>10.6</v>
      </c>
      <c r="O61" s="198">
        <f t="shared" si="5"/>
        <v>8.268</v>
      </c>
      <c r="P61" s="198">
        <f t="shared" si="6"/>
        <v>21.695414</v>
      </c>
      <c r="Q61" s="178"/>
      <c r="R61" s="60"/>
    </row>
    <row r="62" spans="1:18" ht="12" outlineLevel="2">
      <c r="A62" s="13"/>
      <c r="B62" s="13"/>
      <c r="C62" s="363" t="s">
        <v>350</v>
      </c>
      <c r="D62" s="363"/>
      <c r="E62" s="6"/>
      <c r="F62" s="268"/>
      <c r="G62" s="202"/>
      <c r="H62" s="198"/>
      <c r="I62" s="367">
        <v>79.8</v>
      </c>
      <c r="J62" s="370" t="s">
        <v>26</v>
      </c>
      <c r="K62" s="369">
        <v>1</v>
      </c>
      <c r="L62" s="263">
        <f>+K62*I62</f>
        <v>79.8</v>
      </c>
      <c r="M62" s="268"/>
      <c r="N62" s="337"/>
      <c r="O62" s="198"/>
      <c r="P62" s="198">
        <f t="shared" si="6"/>
        <v>79.8</v>
      </c>
      <c r="Q62" s="178"/>
      <c r="R62" s="60"/>
    </row>
    <row r="63" spans="1:18" ht="12" outlineLevel="2">
      <c r="A63" s="13" t="s">
        <v>146</v>
      </c>
      <c r="B63" s="13" t="s">
        <v>182</v>
      </c>
      <c r="C63" s="13"/>
      <c r="D63" s="13"/>
      <c r="E63" s="201" t="s">
        <v>208</v>
      </c>
      <c r="F63" s="365">
        <v>2</v>
      </c>
      <c r="G63" s="268">
        <f>Machinery!V19</f>
        <v>7.206266666666667</v>
      </c>
      <c r="H63" s="198">
        <f>G63*F63</f>
        <v>14.412533333333334</v>
      </c>
      <c r="I63" s="198"/>
      <c r="J63" s="200"/>
      <c r="K63" s="201"/>
      <c r="L63" s="198"/>
      <c r="M63" s="365">
        <v>0.2</v>
      </c>
      <c r="N63" s="337">
        <f>Assumptions!G28</f>
        <v>14</v>
      </c>
      <c r="O63" s="198">
        <f t="shared" si="5"/>
        <v>2.8000000000000003</v>
      </c>
      <c r="P63" s="198">
        <f t="shared" si="6"/>
        <v>17.212533333333333</v>
      </c>
      <c r="Q63" s="178"/>
      <c r="R63" s="60"/>
    </row>
    <row r="64" spans="1:18" ht="12" outlineLevel="2">
      <c r="A64" s="13" t="s">
        <v>149</v>
      </c>
      <c r="B64" s="13" t="s">
        <v>155</v>
      </c>
      <c r="C64" s="13"/>
      <c r="D64" s="13"/>
      <c r="E64" s="201" t="s">
        <v>139</v>
      </c>
      <c r="F64" s="202"/>
      <c r="G64" s="202"/>
      <c r="H64" s="198"/>
      <c r="I64" s="210"/>
      <c r="J64" s="200"/>
      <c r="K64" s="201"/>
      <c r="L64" s="198"/>
      <c r="M64" s="365">
        <v>2</v>
      </c>
      <c r="N64" s="337">
        <f>Assumptions!G29</f>
        <v>10.6</v>
      </c>
      <c r="O64" s="198">
        <f t="shared" si="5"/>
        <v>21.2</v>
      </c>
      <c r="P64" s="198">
        <f t="shared" si="6"/>
        <v>21.2</v>
      </c>
      <c r="Q64" s="178"/>
      <c r="R64" s="60"/>
    </row>
    <row r="65" spans="1:144" s="177" customFormat="1" ht="12" outlineLevel="1">
      <c r="A65" s="227" t="s">
        <v>156</v>
      </c>
      <c r="B65" s="227"/>
      <c r="C65" s="227"/>
      <c r="D65" s="227"/>
      <c r="E65" s="227"/>
      <c r="F65" s="227"/>
      <c r="G65" s="227"/>
      <c r="H65" s="230">
        <f>SUM(H57:H64)</f>
        <v>57.52208066666667</v>
      </c>
      <c r="I65" s="230"/>
      <c r="J65" s="227"/>
      <c r="K65" s="228"/>
      <c r="L65" s="230">
        <f>SUM(L57:L64)</f>
        <v>142.3</v>
      </c>
      <c r="M65" s="260">
        <f>SUM(M57:M64)</f>
        <v>5.680000000000001</v>
      </c>
      <c r="N65" s="227"/>
      <c r="O65" s="230">
        <f>SUM(O57:O64)</f>
        <v>64.968</v>
      </c>
      <c r="P65" s="230">
        <f>SUM(P57:P64)</f>
        <v>264.79008066666665</v>
      </c>
      <c r="Q65" s="230">
        <f>Q55+P65</f>
        <v>6374.447575666666</v>
      </c>
      <c r="R65" s="60"/>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c r="CA65" s="169"/>
      <c r="CB65" s="169"/>
      <c r="CC65" s="169"/>
      <c r="CD65" s="169"/>
      <c r="CE65" s="169"/>
      <c r="CF65" s="169"/>
      <c r="CG65" s="169"/>
      <c r="CH65" s="169"/>
      <c r="CI65" s="169"/>
      <c r="CJ65" s="169"/>
      <c r="CK65" s="169"/>
      <c r="CL65" s="169"/>
      <c r="CM65" s="169"/>
      <c r="CN65" s="169"/>
      <c r="CO65" s="169"/>
      <c r="CP65" s="169"/>
      <c r="CQ65" s="169"/>
      <c r="CR65" s="169"/>
      <c r="CS65" s="169"/>
      <c r="CT65" s="169"/>
      <c r="CU65" s="169"/>
      <c r="CV65" s="169"/>
      <c r="CW65" s="169"/>
      <c r="CX65" s="169"/>
      <c r="CY65" s="169"/>
      <c r="CZ65" s="169"/>
      <c r="DA65" s="169"/>
      <c r="DB65" s="169"/>
      <c r="DC65" s="169"/>
      <c r="DD65" s="169"/>
      <c r="DE65" s="169"/>
      <c r="DF65" s="169"/>
      <c r="DG65" s="169"/>
      <c r="DH65" s="169"/>
      <c r="DI65" s="169"/>
      <c r="DJ65" s="169"/>
      <c r="DK65" s="169"/>
      <c r="DL65" s="169"/>
      <c r="DM65" s="169"/>
      <c r="DN65" s="169"/>
      <c r="DO65" s="169"/>
      <c r="DP65" s="169"/>
      <c r="DQ65" s="169"/>
      <c r="DR65" s="169"/>
      <c r="DS65" s="169"/>
      <c r="DT65" s="169"/>
      <c r="DU65" s="169"/>
      <c r="DV65" s="169"/>
      <c r="DW65" s="169"/>
      <c r="DX65" s="169"/>
      <c r="DY65" s="169"/>
      <c r="DZ65" s="169"/>
      <c r="EA65" s="169"/>
      <c r="EB65" s="169"/>
      <c r="EC65" s="169"/>
      <c r="ED65" s="169"/>
      <c r="EE65" s="169"/>
      <c r="EF65" s="169"/>
      <c r="EG65" s="169"/>
      <c r="EH65" s="169"/>
      <c r="EI65" s="169"/>
      <c r="EJ65" s="169"/>
      <c r="EK65" s="169"/>
      <c r="EL65" s="169"/>
      <c r="EM65" s="169"/>
      <c r="EN65" s="169"/>
    </row>
    <row r="66" spans="1:18" ht="12" outlineLevel="1">
      <c r="A66" s="153" t="s">
        <v>0</v>
      </c>
      <c r="B66" s="13"/>
      <c r="C66" s="13"/>
      <c r="D66" s="13"/>
      <c r="E66" s="201"/>
      <c r="F66" s="202"/>
      <c r="G66" s="202"/>
      <c r="H66" s="198" t="s">
        <v>2</v>
      </c>
      <c r="I66" s="198"/>
      <c r="J66" s="200"/>
      <c r="K66" s="201"/>
      <c r="L66" s="198"/>
      <c r="M66" s="202"/>
      <c r="N66" s="198"/>
      <c r="O66" s="198"/>
      <c r="P66" s="198"/>
      <c r="Q66" s="178"/>
      <c r="R66" s="60"/>
    </row>
    <row r="67" spans="1:18" ht="12" outlineLevel="2">
      <c r="A67" s="13" t="s">
        <v>144</v>
      </c>
      <c r="B67" s="13" t="s">
        <v>267</v>
      </c>
      <c r="C67" s="13"/>
      <c r="D67" s="13"/>
      <c r="E67" s="6" t="s">
        <v>189</v>
      </c>
      <c r="F67" s="365">
        <v>0.65</v>
      </c>
      <c r="G67" s="202">
        <f>Machinery!U5+Machinery!U9</f>
        <v>20.65756</v>
      </c>
      <c r="H67" s="198">
        <f>G67*F67</f>
        <v>13.427414</v>
      </c>
      <c r="I67" s="203" t="s">
        <v>2</v>
      </c>
      <c r="J67" s="215" t="s">
        <v>2</v>
      </c>
      <c r="K67" s="214" t="s">
        <v>2</v>
      </c>
      <c r="L67" s="198"/>
      <c r="M67" s="202">
        <f>+F67*1.2</f>
        <v>0.78</v>
      </c>
      <c r="N67" s="337">
        <f>Assumptions!G29</f>
        <v>10.6</v>
      </c>
      <c r="O67" s="198">
        <f>+N67*M67</f>
        <v>8.268</v>
      </c>
      <c r="P67" s="198">
        <f>O67+L67+H67</f>
        <v>21.695414</v>
      </c>
      <c r="Q67" s="178"/>
      <c r="R67" s="60"/>
    </row>
    <row r="68" spans="1:18" ht="12" outlineLevel="2">
      <c r="A68" s="13" t="s">
        <v>2</v>
      </c>
      <c r="B68" s="13" t="s">
        <v>2</v>
      </c>
      <c r="C68" s="363" t="s">
        <v>353</v>
      </c>
      <c r="D68" s="363"/>
      <c r="E68" s="6" t="s">
        <v>2</v>
      </c>
      <c r="F68" s="202"/>
      <c r="G68" s="202"/>
      <c r="H68" s="198"/>
      <c r="I68" s="367">
        <v>8.4</v>
      </c>
      <c r="J68" s="370" t="s">
        <v>26</v>
      </c>
      <c r="K68" s="369">
        <v>3</v>
      </c>
      <c r="L68" s="198">
        <f>+K68*I68</f>
        <v>25.200000000000003</v>
      </c>
      <c r="M68" s="202" t="s">
        <v>2</v>
      </c>
      <c r="N68" s="198" t="s">
        <v>2</v>
      </c>
      <c r="O68" s="198"/>
      <c r="P68" s="198">
        <f>O68+L68+H68</f>
        <v>25.200000000000003</v>
      </c>
      <c r="Q68" s="178"/>
      <c r="R68" s="60"/>
    </row>
    <row r="69" spans="1:18" ht="12" outlineLevel="2">
      <c r="A69" s="13"/>
      <c r="B69" s="13"/>
      <c r="C69" s="363" t="s">
        <v>164</v>
      </c>
      <c r="D69" s="363"/>
      <c r="E69" s="201"/>
      <c r="F69" s="202"/>
      <c r="G69" s="202"/>
      <c r="H69" s="198"/>
      <c r="I69" s="367">
        <v>46</v>
      </c>
      <c r="J69" s="370" t="s">
        <v>122</v>
      </c>
      <c r="K69" s="369">
        <v>2.5</v>
      </c>
      <c r="L69" s="263">
        <f>+K69*I69</f>
        <v>115</v>
      </c>
      <c r="M69" s="202"/>
      <c r="N69" s="198"/>
      <c r="O69" s="198"/>
      <c r="P69" s="198">
        <f>O69+L69+H69</f>
        <v>115</v>
      </c>
      <c r="Q69" s="178"/>
      <c r="R69" s="60"/>
    </row>
    <row r="70" spans="1:18" ht="12" outlineLevel="2">
      <c r="A70" s="13"/>
      <c r="B70" s="13"/>
      <c r="C70" s="363" t="s">
        <v>224</v>
      </c>
      <c r="D70" s="363"/>
      <c r="E70" s="201"/>
      <c r="F70" s="202"/>
      <c r="G70" s="202"/>
      <c r="H70" s="198"/>
      <c r="I70" s="367">
        <v>5.25</v>
      </c>
      <c r="J70" s="370" t="s">
        <v>114</v>
      </c>
      <c r="K70" s="369">
        <v>1</v>
      </c>
      <c r="L70" s="263">
        <f>+K70*I70</f>
        <v>5.25</v>
      </c>
      <c r="M70" s="202"/>
      <c r="N70" s="198"/>
      <c r="O70" s="198"/>
      <c r="P70" s="198">
        <f>O70+L70+H70</f>
        <v>5.25</v>
      </c>
      <c r="Q70" s="178"/>
      <c r="R70" s="60"/>
    </row>
    <row r="71" spans="1:144" s="177" customFormat="1" ht="12" outlineLevel="1">
      <c r="A71" s="227" t="s">
        <v>159</v>
      </c>
      <c r="B71" s="227"/>
      <c r="C71" s="227"/>
      <c r="D71" s="227"/>
      <c r="E71" s="228"/>
      <c r="F71" s="229"/>
      <c r="G71" s="229"/>
      <c r="H71" s="230">
        <f>SUM(H67:H70)</f>
        <v>13.427414</v>
      </c>
      <c r="I71" s="230"/>
      <c r="J71" s="231"/>
      <c r="K71" s="228"/>
      <c r="L71" s="230">
        <f>SUM(L67:L70)</f>
        <v>145.45</v>
      </c>
      <c r="M71" s="260">
        <f>SUM(M67:M70)</f>
        <v>0.78</v>
      </c>
      <c r="N71" s="230"/>
      <c r="O71" s="230">
        <f>SUM(O67:O70)</f>
        <v>8.268</v>
      </c>
      <c r="P71" s="230">
        <f>SUM(P67:P70)</f>
        <v>167.14541400000002</v>
      </c>
      <c r="Q71" s="230">
        <f>Q65+P71</f>
        <v>6541.592989666666</v>
      </c>
      <c r="R71" s="60"/>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9"/>
      <c r="BR71" s="169"/>
      <c r="BS71" s="169"/>
      <c r="BT71" s="169"/>
      <c r="BU71" s="169"/>
      <c r="BV71" s="169"/>
      <c r="BW71" s="169"/>
      <c r="BX71" s="169"/>
      <c r="BY71" s="169"/>
      <c r="BZ71" s="169"/>
      <c r="CA71" s="169"/>
      <c r="CB71" s="169"/>
      <c r="CC71" s="169"/>
      <c r="CD71" s="169"/>
      <c r="CE71" s="169"/>
      <c r="CF71" s="169"/>
      <c r="CG71" s="169"/>
      <c r="CH71" s="169"/>
      <c r="CI71" s="169"/>
      <c r="CJ71" s="169"/>
      <c r="CK71" s="169"/>
      <c r="CL71" s="169"/>
      <c r="CM71" s="169"/>
      <c r="CN71" s="169"/>
      <c r="CO71" s="169"/>
      <c r="CP71" s="169"/>
      <c r="CQ71" s="169"/>
      <c r="CR71" s="169"/>
      <c r="CS71" s="169"/>
      <c r="CT71" s="169"/>
      <c r="CU71" s="169"/>
      <c r="CV71" s="169"/>
      <c r="CW71" s="169"/>
      <c r="CX71" s="169"/>
      <c r="CY71" s="169"/>
      <c r="CZ71" s="169"/>
      <c r="DA71" s="169"/>
      <c r="DB71" s="169"/>
      <c r="DC71" s="169"/>
      <c r="DD71" s="169"/>
      <c r="DE71" s="169"/>
      <c r="DF71" s="169"/>
      <c r="DG71" s="169"/>
      <c r="DH71" s="169"/>
      <c r="DI71" s="169"/>
      <c r="DJ71" s="169"/>
      <c r="DK71" s="169"/>
      <c r="DL71" s="169"/>
      <c r="DM71" s="169"/>
      <c r="DN71" s="169"/>
      <c r="DO71" s="169"/>
      <c r="DP71" s="169"/>
      <c r="DQ71" s="169"/>
      <c r="DR71" s="169"/>
      <c r="DS71" s="169"/>
      <c r="DT71" s="169"/>
      <c r="DU71" s="169"/>
      <c r="DV71" s="169"/>
      <c r="DW71" s="169"/>
      <c r="DX71" s="169"/>
      <c r="DY71" s="169"/>
      <c r="DZ71" s="169"/>
      <c r="EA71" s="169"/>
      <c r="EB71" s="169"/>
      <c r="EC71" s="169"/>
      <c r="ED71" s="169"/>
      <c r="EE71" s="169"/>
      <c r="EF71" s="169"/>
      <c r="EG71" s="169"/>
      <c r="EH71" s="169"/>
      <c r="EI71" s="169"/>
      <c r="EJ71" s="169"/>
      <c r="EK71" s="169"/>
      <c r="EL71" s="169"/>
      <c r="EM71" s="169"/>
      <c r="EN71" s="169"/>
    </row>
    <row r="72" spans="1:144" s="218" customFormat="1" ht="12">
      <c r="A72" s="246" t="s">
        <v>210</v>
      </c>
      <c r="B72" s="224"/>
      <c r="C72" s="224"/>
      <c r="D72" s="224"/>
      <c r="E72" s="225"/>
      <c r="F72" s="226"/>
      <c r="G72" s="226"/>
      <c r="H72" s="238">
        <f>SUM(H53:H71)-H55-H65-H71</f>
        <v>395.62989466666664</v>
      </c>
      <c r="I72" s="238"/>
      <c r="J72" s="249"/>
      <c r="K72" s="250"/>
      <c r="L72" s="238">
        <f>SUM(L53:L71)-L55-L65-L71</f>
        <v>287.75</v>
      </c>
      <c r="M72" s="274">
        <f>SUM(M53:M71)-M55-M65-M71</f>
        <v>47.26</v>
      </c>
      <c r="N72" s="238"/>
      <c r="O72" s="238">
        <f>SUM(O53:O71)-O55-O65-O71</f>
        <v>505.71600000000024</v>
      </c>
      <c r="P72" s="238">
        <f>SUM(P53:P71)-P55-P65-P71</f>
        <v>1189.095894666666</v>
      </c>
      <c r="Q72" s="238">
        <f>Q50+P72</f>
        <v>6541.592989666667</v>
      </c>
      <c r="R72" s="60"/>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9"/>
      <c r="BR72" s="169"/>
      <c r="BS72" s="169"/>
      <c r="BT72" s="169"/>
      <c r="BU72" s="169"/>
      <c r="BV72" s="169"/>
      <c r="BW72" s="169"/>
      <c r="BX72" s="169"/>
      <c r="BY72" s="169"/>
      <c r="BZ72" s="169"/>
      <c r="CA72" s="169"/>
      <c r="CB72" s="169"/>
      <c r="CC72" s="169"/>
      <c r="CD72" s="169"/>
      <c r="CE72" s="169"/>
      <c r="CF72" s="169"/>
      <c r="CG72" s="169"/>
      <c r="CH72" s="169"/>
      <c r="CI72" s="169"/>
      <c r="CJ72" s="169"/>
      <c r="CK72" s="169"/>
      <c r="CL72" s="169"/>
      <c r="CM72" s="169"/>
      <c r="CN72" s="169"/>
      <c r="CO72" s="169"/>
      <c r="CP72" s="169"/>
      <c r="CQ72" s="169"/>
      <c r="CR72" s="169"/>
      <c r="CS72" s="169"/>
      <c r="CT72" s="169"/>
      <c r="CU72" s="169"/>
      <c r="CV72" s="169"/>
      <c r="CW72" s="169"/>
      <c r="CX72" s="169"/>
      <c r="CY72" s="169"/>
      <c r="CZ72" s="169"/>
      <c r="DA72" s="169"/>
      <c r="DB72" s="169"/>
      <c r="DC72" s="169"/>
      <c r="DD72" s="169"/>
      <c r="DE72" s="169"/>
      <c r="DF72" s="169"/>
      <c r="DG72" s="169"/>
      <c r="DH72" s="169"/>
      <c r="DI72" s="169"/>
      <c r="DJ72" s="169"/>
      <c r="DK72" s="169"/>
      <c r="DL72" s="169"/>
      <c r="DM72" s="169"/>
      <c r="DN72" s="169"/>
      <c r="DO72" s="169"/>
      <c r="DP72" s="169"/>
      <c r="DQ72" s="169"/>
      <c r="DR72" s="169"/>
      <c r="DS72" s="169"/>
      <c r="DT72" s="169"/>
      <c r="DU72" s="169"/>
      <c r="DV72" s="169"/>
      <c r="DW72" s="169"/>
      <c r="DX72" s="169"/>
      <c r="DY72" s="169"/>
      <c r="DZ72" s="169"/>
      <c r="EA72" s="169"/>
      <c r="EB72" s="169"/>
      <c r="EC72" s="169"/>
      <c r="ED72" s="169"/>
      <c r="EE72" s="169"/>
      <c r="EF72" s="169"/>
      <c r="EG72" s="169"/>
      <c r="EH72" s="169"/>
      <c r="EI72" s="169"/>
      <c r="EJ72" s="169"/>
      <c r="EK72" s="169"/>
      <c r="EL72" s="169"/>
      <c r="EM72" s="169"/>
      <c r="EN72" s="169"/>
    </row>
    <row r="73" spans="1:18" s="169" customFormat="1" ht="12">
      <c r="A73" s="247"/>
      <c r="E73" s="116"/>
      <c r="F73" s="117"/>
      <c r="G73" s="117"/>
      <c r="H73" s="118"/>
      <c r="I73" s="118"/>
      <c r="J73" s="115"/>
      <c r="K73" s="116"/>
      <c r="L73" s="118"/>
      <c r="M73" s="117"/>
      <c r="N73" s="118"/>
      <c r="O73" s="118"/>
      <c r="P73" s="118"/>
      <c r="Q73" s="248"/>
      <c r="R73" s="60"/>
    </row>
    <row r="74" spans="1:18" ht="12">
      <c r="A74" s="207" t="s">
        <v>160</v>
      </c>
      <c r="B74" s="13"/>
      <c r="C74" s="13"/>
      <c r="D74" s="13"/>
      <c r="E74" s="201"/>
      <c r="F74" s="202"/>
      <c r="G74" s="202"/>
      <c r="H74" s="198"/>
      <c r="I74" s="198"/>
      <c r="J74" s="200"/>
      <c r="K74" s="201"/>
      <c r="L74" s="198"/>
      <c r="M74" s="202"/>
      <c r="N74" s="198"/>
      <c r="O74" s="198"/>
      <c r="P74" s="208"/>
      <c r="Q74" s="206"/>
      <c r="R74" s="60"/>
    </row>
    <row r="75" spans="1:18" ht="12">
      <c r="A75" s="153" t="s">
        <v>1</v>
      </c>
      <c r="B75" s="13"/>
      <c r="C75" s="13"/>
      <c r="D75" s="13"/>
      <c r="E75" s="201"/>
      <c r="F75" s="202"/>
      <c r="G75" s="202"/>
      <c r="H75" s="198" t="s">
        <v>2</v>
      </c>
      <c r="I75" s="198"/>
      <c r="J75" s="200"/>
      <c r="K75" s="201"/>
      <c r="L75" s="198"/>
      <c r="M75" s="202"/>
      <c r="N75" s="198"/>
      <c r="O75" s="198"/>
      <c r="P75" s="198"/>
      <c r="Q75" s="178"/>
      <c r="R75" s="60"/>
    </row>
    <row r="76" spans="1:18" ht="12" outlineLevel="2">
      <c r="A76" s="13" t="s">
        <v>144</v>
      </c>
      <c r="B76" s="13" t="s">
        <v>380</v>
      </c>
      <c r="C76" s="13"/>
      <c r="D76" s="13"/>
      <c r="E76" s="201" t="s">
        <v>139</v>
      </c>
      <c r="F76" s="202"/>
      <c r="G76" s="202"/>
      <c r="H76" s="198"/>
      <c r="I76" s="198"/>
      <c r="J76" s="200"/>
      <c r="K76" s="201"/>
      <c r="L76" s="198"/>
      <c r="M76" s="365">
        <v>27</v>
      </c>
      <c r="N76" s="337">
        <f>Assumptions!G29</f>
        <v>10.6</v>
      </c>
      <c r="O76" s="198">
        <f>+N76*M76</f>
        <v>286.2</v>
      </c>
      <c r="P76" s="198">
        <f>O76+L76+H76</f>
        <v>286.2</v>
      </c>
      <c r="Q76" s="178"/>
      <c r="R76" s="60"/>
    </row>
    <row r="77" spans="1:18" ht="12" outlineLevel="2">
      <c r="A77" s="13" t="s">
        <v>144</v>
      </c>
      <c r="B77" s="13" t="s">
        <v>354</v>
      </c>
      <c r="C77" s="13"/>
      <c r="D77" s="13"/>
      <c r="E77" s="6" t="s">
        <v>189</v>
      </c>
      <c r="F77" s="365">
        <v>0.65</v>
      </c>
      <c r="G77" s="202">
        <f>Machinery!U5+Machinery!U9</f>
        <v>20.65756</v>
      </c>
      <c r="H77" s="198">
        <f>G77*F77</f>
        <v>13.427414</v>
      </c>
      <c r="I77" s="198"/>
      <c r="J77" s="200"/>
      <c r="K77" s="201"/>
      <c r="L77" s="198"/>
      <c r="M77" s="202">
        <f>+F77*1.2</f>
        <v>0.78</v>
      </c>
      <c r="N77" s="337">
        <f>Assumptions!G29</f>
        <v>10.6</v>
      </c>
      <c r="O77" s="198">
        <f>+N77*M77</f>
        <v>8.268</v>
      </c>
      <c r="P77" s="198">
        <f>O77+L77+H77</f>
        <v>21.695414</v>
      </c>
      <c r="Q77" s="178"/>
      <c r="R77" s="60"/>
    </row>
    <row r="78" spans="1:18" ht="12" outlineLevel="2">
      <c r="A78" s="13"/>
      <c r="B78" s="13"/>
      <c r="C78" s="363" t="s">
        <v>353</v>
      </c>
      <c r="D78" s="363"/>
      <c r="E78" s="6"/>
      <c r="F78" s="268"/>
      <c r="G78" s="202"/>
      <c r="H78" s="198"/>
      <c r="I78" s="367">
        <v>8.4</v>
      </c>
      <c r="J78" s="370" t="s">
        <v>26</v>
      </c>
      <c r="K78" s="369">
        <v>3</v>
      </c>
      <c r="L78" s="198">
        <f>+K78*I78</f>
        <v>25.200000000000003</v>
      </c>
      <c r="M78" s="202" t="s">
        <v>2</v>
      </c>
      <c r="N78" s="198" t="s">
        <v>2</v>
      </c>
      <c r="O78" s="198"/>
      <c r="P78" s="198">
        <f>O78+L78+H78</f>
        <v>25.200000000000003</v>
      </c>
      <c r="Q78" s="178"/>
      <c r="R78" s="60"/>
    </row>
    <row r="79" spans="1:18" ht="12" outlineLevel="2">
      <c r="A79" s="13" t="s">
        <v>140</v>
      </c>
      <c r="B79" s="13" t="s">
        <v>157</v>
      </c>
      <c r="C79" s="13"/>
      <c r="D79" s="13"/>
      <c r="E79" s="201" t="s">
        <v>139</v>
      </c>
      <c r="F79" s="205"/>
      <c r="G79" s="205"/>
      <c r="H79" s="198"/>
      <c r="I79" s="367">
        <v>0.26</v>
      </c>
      <c r="J79" s="370" t="s">
        <v>225</v>
      </c>
      <c r="K79" s="369">
        <v>4840</v>
      </c>
      <c r="L79" s="203">
        <f>K79*I79</f>
        <v>1258.4</v>
      </c>
      <c r="M79" s="365">
        <v>4</v>
      </c>
      <c r="N79" s="337">
        <f>Assumptions!G29</f>
        <v>10.6</v>
      </c>
      <c r="O79" s="203">
        <f>+N79*M79</f>
        <v>42.4</v>
      </c>
      <c r="P79" s="198">
        <f>O79+L79+H79</f>
        <v>1300.8000000000002</v>
      </c>
      <c r="Q79" s="178"/>
      <c r="R79" s="60"/>
    </row>
    <row r="80" spans="1:18" ht="12" outlineLevel="2">
      <c r="A80" s="13" t="s">
        <v>2</v>
      </c>
      <c r="B80" s="13" t="s">
        <v>158</v>
      </c>
      <c r="C80" s="13"/>
      <c r="D80" s="13"/>
      <c r="E80" s="201" t="s">
        <v>209</v>
      </c>
      <c r="F80" s="365">
        <v>0.108</v>
      </c>
      <c r="G80" s="202">
        <f>Machinery!U4</f>
        <v>7.897500000000001</v>
      </c>
      <c r="H80" s="198">
        <f>G80*F80</f>
        <v>0.8529300000000001</v>
      </c>
      <c r="I80" s="367">
        <v>0.1</v>
      </c>
      <c r="J80" s="370" t="s">
        <v>26</v>
      </c>
      <c r="K80" s="369">
        <v>500</v>
      </c>
      <c r="L80" s="198">
        <f>+(K80*I80)</f>
        <v>50</v>
      </c>
      <c r="M80" s="365">
        <v>2</v>
      </c>
      <c r="N80" s="337">
        <f>Assumptions!G29</f>
        <v>10.6</v>
      </c>
      <c r="O80" s="198">
        <f>+N80*M80</f>
        <v>21.2</v>
      </c>
      <c r="P80" s="198">
        <f>O80+L80+H80</f>
        <v>72.05293</v>
      </c>
      <c r="Q80" s="178"/>
      <c r="R80" s="60"/>
    </row>
    <row r="81" spans="1:144" s="177" customFormat="1" ht="12" outlineLevel="1">
      <c r="A81" s="227" t="s">
        <v>163</v>
      </c>
      <c r="B81" s="227"/>
      <c r="C81" s="227"/>
      <c r="D81" s="227"/>
      <c r="E81" s="228"/>
      <c r="F81" s="229"/>
      <c r="G81" s="229"/>
      <c r="H81" s="230">
        <f>SUM(H76:H80)</f>
        <v>14.280344000000001</v>
      </c>
      <c r="I81" s="230"/>
      <c r="J81" s="231"/>
      <c r="K81" s="228"/>
      <c r="L81" s="230">
        <f>SUM(L76:L80)</f>
        <v>1333.6000000000001</v>
      </c>
      <c r="M81" s="260">
        <f>SUM(M76:M80)</f>
        <v>33.78</v>
      </c>
      <c r="N81" s="230"/>
      <c r="O81" s="230">
        <f>SUM(O76:O80)</f>
        <v>358.0679999999999</v>
      </c>
      <c r="P81" s="230">
        <f>SUM(P76:P80)</f>
        <v>1705.9483440000001</v>
      </c>
      <c r="Q81" s="230">
        <f>Q71+P81</f>
        <v>8247.541333666666</v>
      </c>
      <c r="R81" s="60"/>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69"/>
      <c r="BY81" s="169"/>
      <c r="BZ81" s="169"/>
      <c r="CA81" s="169"/>
      <c r="CB81" s="169"/>
      <c r="CC81" s="169"/>
      <c r="CD81" s="169"/>
      <c r="CE81" s="169"/>
      <c r="CF81" s="169"/>
      <c r="CG81" s="169"/>
      <c r="CH81" s="169"/>
      <c r="CI81" s="169"/>
      <c r="CJ81" s="169"/>
      <c r="CK81" s="169"/>
      <c r="CL81" s="169"/>
      <c r="CM81" s="169"/>
      <c r="CN81" s="169"/>
      <c r="CO81" s="169"/>
      <c r="CP81" s="169"/>
      <c r="CQ81" s="169"/>
      <c r="CR81" s="169"/>
      <c r="CS81" s="169"/>
      <c r="CT81" s="169"/>
      <c r="CU81" s="169"/>
      <c r="CV81" s="169"/>
      <c r="CW81" s="169"/>
      <c r="CX81" s="169"/>
      <c r="CY81" s="169"/>
      <c r="CZ81" s="169"/>
      <c r="DA81" s="169"/>
      <c r="DB81" s="169"/>
      <c r="DC81" s="169"/>
      <c r="DD81" s="169"/>
      <c r="DE81" s="169"/>
      <c r="DF81" s="169"/>
      <c r="DG81" s="169"/>
      <c r="DH81" s="169"/>
      <c r="DI81" s="169"/>
      <c r="DJ81" s="169"/>
      <c r="DK81" s="169"/>
      <c r="DL81" s="169"/>
      <c r="DM81" s="169"/>
      <c r="DN81" s="169"/>
      <c r="DO81" s="169"/>
      <c r="DP81" s="169"/>
      <c r="DQ81" s="169"/>
      <c r="DR81" s="169"/>
      <c r="DS81" s="169"/>
      <c r="DT81" s="169"/>
      <c r="DU81" s="169"/>
      <c r="DV81" s="169"/>
      <c r="DW81" s="169"/>
      <c r="DX81" s="169"/>
      <c r="DY81" s="169"/>
      <c r="DZ81" s="169"/>
      <c r="EA81" s="169"/>
      <c r="EB81" s="169"/>
      <c r="EC81" s="169"/>
      <c r="ED81" s="169"/>
      <c r="EE81" s="169"/>
      <c r="EF81" s="169"/>
      <c r="EG81" s="169"/>
      <c r="EH81" s="169"/>
      <c r="EI81" s="169"/>
      <c r="EJ81" s="169"/>
      <c r="EK81" s="169"/>
      <c r="EL81" s="169"/>
      <c r="EM81" s="169"/>
      <c r="EN81" s="169"/>
    </row>
    <row r="82" spans="1:18" ht="12" outlineLevel="1">
      <c r="A82" s="153" t="s">
        <v>28</v>
      </c>
      <c r="B82" s="13"/>
      <c r="C82" s="13"/>
      <c r="D82" s="13"/>
      <c r="E82" s="201"/>
      <c r="F82" s="202"/>
      <c r="G82" s="202"/>
      <c r="H82" s="198" t="s">
        <v>2</v>
      </c>
      <c r="I82" s="198"/>
      <c r="J82" s="200"/>
      <c r="K82" s="201"/>
      <c r="L82" s="198"/>
      <c r="M82" s="202"/>
      <c r="N82" s="198"/>
      <c r="O82" s="198"/>
      <c r="P82" s="198"/>
      <c r="Q82" s="178"/>
      <c r="R82" s="60"/>
    </row>
    <row r="83" spans="1:18" ht="12" outlineLevel="2">
      <c r="A83" s="13" t="s">
        <v>146</v>
      </c>
      <c r="B83" s="13" t="s">
        <v>161</v>
      </c>
      <c r="C83" s="13"/>
      <c r="D83" s="13"/>
      <c r="E83" s="201" t="s">
        <v>139</v>
      </c>
      <c r="F83" s="202"/>
      <c r="G83" s="202"/>
      <c r="H83" s="198"/>
      <c r="I83" s="198"/>
      <c r="J83" s="200"/>
      <c r="K83" s="201"/>
      <c r="L83" s="198"/>
      <c r="M83" s="365">
        <v>6</v>
      </c>
      <c r="N83" s="337">
        <f>Assumptions!G29</f>
        <v>10.6</v>
      </c>
      <c r="O83" s="198">
        <f>+N83*M83</f>
        <v>63.599999999999994</v>
      </c>
      <c r="P83" s="198">
        <f>O83+L83+H83</f>
        <v>63.599999999999994</v>
      </c>
      <c r="Q83" s="178"/>
      <c r="R83" s="60"/>
    </row>
    <row r="84" spans="1:18" ht="12" outlineLevel="2">
      <c r="A84" s="13" t="s">
        <v>149</v>
      </c>
      <c r="B84" s="13" t="s">
        <v>226</v>
      </c>
      <c r="C84" s="13"/>
      <c r="D84" s="13"/>
      <c r="E84" s="201" t="s">
        <v>139</v>
      </c>
      <c r="F84" s="202"/>
      <c r="G84" s="202"/>
      <c r="H84" s="198"/>
      <c r="I84" s="198"/>
      <c r="J84" s="200"/>
      <c r="K84" s="201"/>
      <c r="L84" s="198"/>
      <c r="M84" s="365">
        <v>44</v>
      </c>
      <c r="N84" s="337">
        <f>Assumptions!G29</f>
        <v>10.6</v>
      </c>
      <c r="O84" s="198">
        <f>+N84*M84</f>
        <v>466.4</v>
      </c>
      <c r="P84" s="198">
        <f>O84+L84+H84</f>
        <v>466.4</v>
      </c>
      <c r="Q84" s="178"/>
      <c r="R84" s="60"/>
    </row>
    <row r="85" spans="1:144" s="177" customFormat="1" ht="12" outlineLevel="1">
      <c r="A85" s="227" t="s">
        <v>165</v>
      </c>
      <c r="B85" s="227"/>
      <c r="C85" s="227"/>
      <c r="D85" s="227"/>
      <c r="E85" s="227"/>
      <c r="F85" s="227"/>
      <c r="G85" s="227"/>
      <c r="H85" s="230">
        <f>SUM(H83:H84)</f>
        <v>0</v>
      </c>
      <c r="I85" s="230"/>
      <c r="J85" s="227"/>
      <c r="K85" s="228"/>
      <c r="L85" s="230">
        <f>SUM(L83:L84)</f>
        <v>0</v>
      </c>
      <c r="M85" s="260">
        <f>SUM(M83:M84)</f>
        <v>50</v>
      </c>
      <c r="N85" s="227"/>
      <c r="O85" s="230">
        <f>SUM(O83:O84)</f>
        <v>530</v>
      </c>
      <c r="P85" s="230">
        <f>SUM(P83:P84)</f>
        <v>530</v>
      </c>
      <c r="Q85" s="230">
        <f>Q81+P85</f>
        <v>8777.541333666666</v>
      </c>
      <c r="R85" s="60"/>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169"/>
      <c r="BY85" s="169"/>
      <c r="BZ85" s="169"/>
      <c r="CA85" s="169"/>
      <c r="CB85" s="169"/>
      <c r="CC85" s="169"/>
      <c r="CD85" s="169"/>
      <c r="CE85" s="169"/>
      <c r="CF85" s="169"/>
      <c r="CG85" s="169"/>
      <c r="CH85" s="169"/>
      <c r="CI85" s="169"/>
      <c r="CJ85" s="169"/>
      <c r="CK85" s="169"/>
      <c r="CL85" s="169"/>
      <c r="CM85" s="169"/>
      <c r="CN85" s="169"/>
      <c r="CO85" s="169"/>
      <c r="CP85" s="169"/>
      <c r="CQ85" s="169"/>
      <c r="CR85" s="169"/>
      <c r="CS85" s="169"/>
      <c r="CT85" s="169"/>
      <c r="CU85" s="169"/>
      <c r="CV85" s="169"/>
      <c r="CW85" s="169"/>
      <c r="CX85" s="169"/>
      <c r="CY85" s="169"/>
      <c r="CZ85" s="169"/>
      <c r="DA85" s="169"/>
      <c r="DB85" s="169"/>
      <c r="DC85" s="169"/>
      <c r="DD85" s="169"/>
      <c r="DE85" s="169"/>
      <c r="DF85" s="169"/>
      <c r="DG85" s="169"/>
      <c r="DH85" s="169"/>
      <c r="DI85" s="169"/>
      <c r="DJ85" s="169"/>
      <c r="DK85" s="169"/>
      <c r="DL85" s="169"/>
      <c r="DM85" s="169"/>
      <c r="DN85" s="169"/>
      <c r="DO85" s="169"/>
      <c r="DP85" s="169"/>
      <c r="DQ85" s="169"/>
      <c r="DR85" s="169"/>
      <c r="DS85" s="169"/>
      <c r="DT85" s="169"/>
      <c r="DU85" s="169"/>
      <c r="DV85" s="169"/>
      <c r="DW85" s="169"/>
      <c r="DX85" s="169"/>
      <c r="DY85" s="169"/>
      <c r="DZ85" s="169"/>
      <c r="EA85" s="169"/>
      <c r="EB85" s="169"/>
      <c r="EC85" s="169"/>
      <c r="ED85" s="169"/>
      <c r="EE85" s="169"/>
      <c r="EF85" s="169"/>
      <c r="EG85" s="169"/>
      <c r="EH85" s="169"/>
      <c r="EI85" s="169"/>
      <c r="EJ85" s="169"/>
      <c r="EK85" s="169"/>
      <c r="EL85" s="169"/>
      <c r="EM85" s="169"/>
      <c r="EN85" s="169"/>
    </row>
    <row r="86" spans="1:18" ht="12" outlineLevel="1">
      <c r="A86" s="153" t="s">
        <v>27</v>
      </c>
      <c r="B86" s="13"/>
      <c r="C86" s="13"/>
      <c r="D86" s="13"/>
      <c r="E86" s="201"/>
      <c r="F86" s="202"/>
      <c r="G86" s="202"/>
      <c r="H86" s="198"/>
      <c r="I86" s="198"/>
      <c r="J86" s="200"/>
      <c r="K86" s="201"/>
      <c r="L86" s="198"/>
      <c r="M86" s="202"/>
      <c r="N86" s="198"/>
      <c r="O86" s="198"/>
      <c r="P86" s="198"/>
      <c r="Q86" s="178"/>
      <c r="R86" s="60"/>
    </row>
    <row r="87" spans="1:18" ht="12" outlineLevel="1">
      <c r="A87" s="13" t="s">
        <v>140</v>
      </c>
      <c r="B87" s="13" t="s">
        <v>166</v>
      </c>
      <c r="C87" s="13"/>
      <c r="D87" s="13"/>
      <c r="E87" s="201"/>
      <c r="F87" s="202"/>
      <c r="G87" s="202"/>
      <c r="H87" s="198"/>
      <c r="I87" s="198"/>
      <c r="J87" s="200"/>
      <c r="K87" s="201"/>
      <c r="L87" s="198"/>
      <c r="M87" s="365">
        <v>1</v>
      </c>
      <c r="N87" s="337">
        <f>Assumptions!G28</f>
        <v>14</v>
      </c>
      <c r="O87" s="198">
        <f>+M87*N87</f>
        <v>14</v>
      </c>
      <c r="P87" s="198">
        <f>O87+L87+H87</f>
        <v>14</v>
      </c>
      <c r="Q87" s="178"/>
      <c r="R87" s="60"/>
    </row>
    <row r="88" spans="1:18" s="169" customFormat="1" ht="12" outlineLevel="1">
      <c r="A88" s="269" t="s">
        <v>140</v>
      </c>
      <c r="B88" s="269" t="s">
        <v>176</v>
      </c>
      <c r="C88" s="269"/>
      <c r="D88" s="269"/>
      <c r="E88" s="269" t="s">
        <v>139</v>
      </c>
      <c r="F88" s="269"/>
      <c r="G88" s="269"/>
      <c r="H88" s="270"/>
      <c r="I88" s="270"/>
      <c r="J88" s="269"/>
      <c r="K88" s="271"/>
      <c r="L88" s="270"/>
      <c r="M88" s="365">
        <v>6</v>
      </c>
      <c r="N88" s="337">
        <f>Assumptions!G29</f>
        <v>10.6</v>
      </c>
      <c r="O88" s="198">
        <f>+M88*N88</f>
        <v>63.599999999999994</v>
      </c>
      <c r="P88" s="198">
        <f>O88+L88+H88</f>
        <v>63.599999999999994</v>
      </c>
      <c r="Q88" s="270"/>
      <c r="R88" s="160"/>
    </row>
    <row r="89" spans="1:144" s="218" customFormat="1" ht="12">
      <c r="A89" s="246" t="s">
        <v>211</v>
      </c>
      <c r="B89" s="224"/>
      <c r="C89" s="224"/>
      <c r="D89" s="224"/>
      <c r="E89" s="225"/>
      <c r="F89" s="226"/>
      <c r="G89" s="226"/>
      <c r="H89" s="238">
        <f>SUM(H76:H88)-H81-H85</f>
        <v>14.280344000000001</v>
      </c>
      <c r="I89" s="238"/>
      <c r="J89" s="249"/>
      <c r="K89" s="250"/>
      <c r="L89" s="238">
        <f>SUM(L76:L88)-L81-L85</f>
        <v>1333.6000000000001</v>
      </c>
      <c r="M89" s="274">
        <f>SUM(M76:M88)-M81-M85</f>
        <v>90.78</v>
      </c>
      <c r="N89" s="238"/>
      <c r="O89" s="238">
        <f>SUM(O76:O88)-O81-O85</f>
        <v>965.6679999999999</v>
      </c>
      <c r="P89" s="238">
        <f>SUM(P76:P88)-P81-P85</f>
        <v>2313.5483440000007</v>
      </c>
      <c r="Q89" s="238">
        <f>Q72+P89</f>
        <v>8855.141333666666</v>
      </c>
      <c r="R89" s="60"/>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c r="BS89" s="169"/>
      <c r="BT89" s="169"/>
      <c r="BU89" s="169"/>
      <c r="BV89" s="169"/>
      <c r="BW89" s="169"/>
      <c r="BX89" s="169"/>
      <c r="BY89" s="169"/>
      <c r="BZ89" s="169"/>
      <c r="CA89" s="169"/>
      <c r="CB89" s="169"/>
      <c r="CC89" s="169"/>
      <c r="CD89" s="169"/>
      <c r="CE89" s="169"/>
      <c r="CF89" s="169"/>
      <c r="CG89" s="169"/>
      <c r="CH89" s="169"/>
      <c r="CI89" s="169"/>
      <c r="CJ89" s="169"/>
      <c r="CK89" s="169"/>
      <c r="CL89" s="169"/>
      <c r="CM89" s="169"/>
      <c r="CN89" s="169"/>
      <c r="CO89" s="169"/>
      <c r="CP89" s="169"/>
      <c r="CQ89" s="169"/>
      <c r="CR89" s="169"/>
      <c r="CS89" s="169"/>
      <c r="CT89" s="169"/>
      <c r="CU89" s="169"/>
      <c r="CV89" s="169"/>
      <c r="CW89" s="169"/>
      <c r="CX89" s="169"/>
      <c r="CY89" s="169"/>
      <c r="CZ89" s="169"/>
      <c r="DA89" s="169"/>
      <c r="DB89" s="169"/>
      <c r="DC89" s="169"/>
      <c r="DD89" s="169"/>
      <c r="DE89" s="169"/>
      <c r="DF89" s="169"/>
      <c r="DG89" s="169"/>
      <c r="DH89" s="169"/>
      <c r="DI89" s="169"/>
      <c r="DJ89" s="169"/>
      <c r="DK89" s="169"/>
      <c r="DL89" s="169"/>
      <c r="DM89" s="169"/>
      <c r="DN89" s="169"/>
      <c r="DO89" s="169"/>
      <c r="DP89" s="169"/>
      <c r="DQ89" s="169"/>
      <c r="DR89" s="169"/>
      <c r="DS89" s="169"/>
      <c r="DT89" s="169"/>
      <c r="DU89" s="169"/>
      <c r="DV89" s="169"/>
      <c r="DW89" s="169"/>
      <c r="DX89" s="169"/>
      <c r="DY89" s="169"/>
      <c r="DZ89" s="169"/>
      <c r="EA89" s="169"/>
      <c r="EB89" s="169"/>
      <c r="EC89" s="169"/>
      <c r="ED89" s="169"/>
      <c r="EE89" s="169"/>
      <c r="EF89" s="169"/>
      <c r="EG89" s="169"/>
      <c r="EH89" s="169"/>
      <c r="EI89" s="169"/>
      <c r="EJ89" s="169"/>
      <c r="EK89" s="169"/>
      <c r="EL89" s="169"/>
      <c r="EM89" s="169"/>
      <c r="EN89" s="169"/>
    </row>
    <row r="90" spans="8:18" s="169" customFormat="1" ht="12">
      <c r="H90" s="118"/>
      <c r="I90" s="118"/>
      <c r="K90" s="116"/>
      <c r="L90" s="118"/>
      <c r="O90" s="118"/>
      <c r="P90" s="251"/>
      <c r="Q90" s="118"/>
      <c r="R90" s="60"/>
    </row>
    <row r="91" spans="1:18" ht="12">
      <c r="A91" s="207" t="s">
        <v>167</v>
      </c>
      <c r="B91" s="13"/>
      <c r="C91" s="13"/>
      <c r="D91" s="13"/>
      <c r="E91" s="201"/>
      <c r="F91" s="202"/>
      <c r="G91" s="202"/>
      <c r="H91" s="198"/>
      <c r="I91" s="198"/>
      <c r="J91" s="200"/>
      <c r="K91" s="201"/>
      <c r="L91" s="198"/>
      <c r="M91" s="202"/>
      <c r="N91" s="198"/>
      <c r="O91" s="198"/>
      <c r="P91" s="198"/>
      <c r="Q91" s="178"/>
      <c r="R91" s="60"/>
    </row>
    <row r="92" spans="1:18" ht="12" outlineLevel="1">
      <c r="A92" s="13" t="s">
        <v>146</v>
      </c>
      <c r="B92" s="13" t="s">
        <v>168</v>
      </c>
      <c r="C92" s="13"/>
      <c r="D92" s="13"/>
      <c r="E92" s="201" t="s">
        <v>139</v>
      </c>
      <c r="F92" s="202"/>
      <c r="G92" s="202"/>
      <c r="H92" s="198"/>
      <c r="I92" s="198"/>
      <c r="J92" s="200"/>
      <c r="K92" s="201"/>
      <c r="L92" s="198"/>
      <c r="M92" s="365">
        <v>15</v>
      </c>
      <c r="N92" s="337">
        <f>Assumptions!G29</f>
        <v>10.6</v>
      </c>
      <c r="O92" s="198">
        <f>+N92*M92</f>
        <v>159</v>
      </c>
      <c r="P92" s="198">
        <f aca="true" t="shared" si="7" ref="P92:P107">O92+L92+H92</f>
        <v>159</v>
      </c>
      <c r="Q92" s="178"/>
      <c r="R92" s="60"/>
    </row>
    <row r="93" spans="1:18" ht="12" outlineLevel="1">
      <c r="A93" s="13" t="s">
        <v>146</v>
      </c>
      <c r="B93" s="13" t="s">
        <v>212</v>
      </c>
      <c r="C93" s="13"/>
      <c r="D93" s="13"/>
      <c r="E93" s="6" t="s">
        <v>189</v>
      </c>
      <c r="F93" s="365">
        <v>0.65</v>
      </c>
      <c r="G93" s="202">
        <f>Machinery!U5+Machinery!U9</f>
        <v>20.65756</v>
      </c>
      <c r="H93" s="198">
        <f>G93*F93</f>
        <v>13.427414</v>
      </c>
      <c r="I93" s="33"/>
      <c r="J93"/>
      <c r="K93" s="5"/>
      <c r="L93"/>
      <c r="M93" s="202">
        <f>+F93*1.2</f>
        <v>0.78</v>
      </c>
      <c r="N93" s="337">
        <f>Assumptions!G29</f>
        <v>10.6</v>
      </c>
      <c r="O93" s="198">
        <f>+N93*M93</f>
        <v>8.268</v>
      </c>
      <c r="P93" s="198">
        <f t="shared" si="7"/>
        <v>21.695414</v>
      </c>
      <c r="Q93" s="178"/>
      <c r="R93" s="60"/>
    </row>
    <row r="94" spans="1:18" ht="12" outlineLevel="1">
      <c r="A94" s="13"/>
      <c r="B94" s="13"/>
      <c r="C94" s="363" t="s">
        <v>227</v>
      </c>
      <c r="D94" s="363"/>
      <c r="E94" s="201"/>
      <c r="F94" s="202"/>
      <c r="G94" s="202"/>
      <c r="H94" s="198"/>
      <c r="I94" s="367">
        <v>14.1</v>
      </c>
      <c r="J94" s="370" t="s">
        <v>114</v>
      </c>
      <c r="K94" s="369">
        <v>1.5</v>
      </c>
      <c r="L94" s="198">
        <f>+K94*I94</f>
        <v>21.15</v>
      </c>
      <c r="M94" s="202"/>
      <c r="N94" s="198"/>
      <c r="O94" s="198"/>
      <c r="P94" s="198">
        <f t="shared" si="7"/>
        <v>21.15</v>
      </c>
      <c r="Q94" s="178"/>
      <c r="R94" s="60"/>
    </row>
    <row r="95" spans="1:18" ht="12" outlineLevel="1">
      <c r="A95" s="13"/>
      <c r="B95" s="13"/>
      <c r="C95" s="363" t="s">
        <v>228</v>
      </c>
      <c r="D95" s="363"/>
      <c r="E95" s="201"/>
      <c r="F95" s="202"/>
      <c r="G95" s="202"/>
      <c r="H95" s="198"/>
      <c r="I95" s="367">
        <v>8.75</v>
      </c>
      <c r="J95" s="370" t="s">
        <v>135</v>
      </c>
      <c r="K95" s="369">
        <v>1</v>
      </c>
      <c r="L95" s="198">
        <f>+K95*I95</f>
        <v>8.75</v>
      </c>
      <c r="M95" s="202"/>
      <c r="N95" s="198"/>
      <c r="O95" s="198"/>
      <c r="P95" s="198">
        <f t="shared" si="7"/>
        <v>8.75</v>
      </c>
      <c r="Q95" s="178"/>
      <c r="R95" s="60"/>
    </row>
    <row r="96" spans="1:18" ht="12" outlineLevel="1">
      <c r="A96" s="13" t="s">
        <v>146</v>
      </c>
      <c r="B96" s="13" t="s">
        <v>166</v>
      </c>
      <c r="C96" s="13"/>
      <c r="D96" s="13"/>
      <c r="E96" s="201"/>
      <c r="F96" s="202"/>
      <c r="G96" s="202"/>
      <c r="H96" s="198"/>
      <c r="I96" s="198"/>
      <c r="J96" s="200"/>
      <c r="K96" s="201"/>
      <c r="L96" s="198"/>
      <c r="M96" s="365">
        <v>1</v>
      </c>
      <c r="N96" s="337">
        <f>Assumptions!G28</f>
        <v>14</v>
      </c>
      <c r="O96" s="198">
        <f>+M96*N96</f>
        <v>14</v>
      </c>
      <c r="P96" s="198">
        <f t="shared" si="7"/>
        <v>14</v>
      </c>
      <c r="Q96" s="178"/>
      <c r="R96" s="60"/>
    </row>
    <row r="97" spans="1:18" ht="12" outlineLevel="1">
      <c r="A97" s="13" t="s">
        <v>146</v>
      </c>
      <c r="B97" s="13" t="s">
        <v>229</v>
      </c>
      <c r="C97" s="13"/>
      <c r="D97" s="13"/>
      <c r="E97" s="6" t="s">
        <v>139</v>
      </c>
      <c r="F97" s="268"/>
      <c r="G97" s="202"/>
      <c r="H97" s="198"/>
      <c r="I97" s="203"/>
      <c r="J97" s="215"/>
      <c r="K97" s="214"/>
      <c r="L97" s="198"/>
      <c r="M97" s="365">
        <v>6</v>
      </c>
      <c r="N97" s="337">
        <f>Assumptions!G29</f>
        <v>10.6</v>
      </c>
      <c r="O97" s="198">
        <f>+M97*N97</f>
        <v>63.599999999999994</v>
      </c>
      <c r="P97" s="198">
        <f t="shared" si="7"/>
        <v>63.599999999999994</v>
      </c>
      <c r="Q97" s="178"/>
      <c r="R97" s="60"/>
    </row>
    <row r="98" spans="1:18" ht="12" outlineLevel="1">
      <c r="A98" s="13" t="s">
        <v>146</v>
      </c>
      <c r="B98" s="13" t="s">
        <v>388</v>
      </c>
      <c r="C98" s="13"/>
      <c r="D98" s="13"/>
      <c r="E98" s="6" t="s">
        <v>189</v>
      </c>
      <c r="F98" s="365">
        <v>0.65</v>
      </c>
      <c r="G98" s="202">
        <f>Machinery!U5+Machinery!U9</f>
        <v>20.65756</v>
      </c>
      <c r="H98" s="198">
        <f>G98*F98</f>
        <v>13.427414</v>
      </c>
      <c r="I98" s="198"/>
      <c r="J98" s="200"/>
      <c r="K98" s="201"/>
      <c r="L98" s="198"/>
      <c r="M98" s="202">
        <f>+F98*1.2</f>
        <v>0.78</v>
      </c>
      <c r="N98" s="337">
        <f>Assumptions!G29</f>
        <v>10.6</v>
      </c>
      <c r="O98" s="198">
        <f>+N98*M98</f>
        <v>8.268</v>
      </c>
      <c r="P98" s="198">
        <f t="shared" si="7"/>
        <v>21.695414</v>
      </c>
      <c r="Q98" s="178"/>
      <c r="R98" s="60"/>
    </row>
    <row r="99" spans="1:18" ht="12" outlineLevel="1">
      <c r="A99" s="13"/>
      <c r="B99" s="13"/>
      <c r="C99" s="363" t="s">
        <v>268</v>
      </c>
      <c r="D99" s="363"/>
      <c r="E99" s="6"/>
      <c r="F99" s="268"/>
      <c r="G99" s="202"/>
      <c r="H99" s="198"/>
      <c r="I99" s="367">
        <v>22.92</v>
      </c>
      <c r="J99" s="370" t="s">
        <v>35</v>
      </c>
      <c r="K99" s="369">
        <v>7</v>
      </c>
      <c r="L99" s="198">
        <f>+K99*I99</f>
        <v>160.44</v>
      </c>
      <c r="M99" s="202"/>
      <c r="N99" s="198"/>
      <c r="O99" s="198"/>
      <c r="P99" s="198">
        <f t="shared" si="7"/>
        <v>160.44</v>
      </c>
      <c r="Q99" s="178"/>
      <c r="R99" s="60"/>
    </row>
    <row r="100" spans="1:18" ht="12" outlineLevel="1">
      <c r="A100" s="13"/>
      <c r="B100" s="13"/>
      <c r="C100" s="363" t="s">
        <v>386</v>
      </c>
      <c r="D100" s="363"/>
      <c r="E100" s="6"/>
      <c r="F100" s="202"/>
      <c r="G100" s="202"/>
      <c r="H100" s="198"/>
      <c r="I100" s="367">
        <v>14</v>
      </c>
      <c r="J100" s="370" t="s">
        <v>26</v>
      </c>
      <c r="K100" s="369">
        <v>2</v>
      </c>
      <c r="L100" s="198">
        <f>+K100*I100</f>
        <v>28</v>
      </c>
      <c r="M100" s="202"/>
      <c r="N100" s="198"/>
      <c r="O100" s="198"/>
      <c r="P100" s="198">
        <f t="shared" si="7"/>
        <v>28</v>
      </c>
      <c r="Q100" s="178"/>
      <c r="R100" s="60"/>
    </row>
    <row r="101" spans="1:18" ht="12" outlineLevel="1">
      <c r="A101" s="13"/>
      <c r="B101" s="13"/>
      <c r="C101" s="363" t="s">
        <v>164</v>
      </c>
      <c r="D101" s="363"/>
      <c r="E101" s="201"/>
      <c r="F101" s="202"/>
      <c r="G101" s="202"/>
      <c r="H101" s="198"/>
      <c r="I101" s="367">
        <v>46</v>
      </c>
      <c r="J101" s="370" t="s">
        <v>122</v>
      </c>
      <c r="K101" s="369">
        <v>2.5</v>
      </c>
      <c r="L101" s="263">
        <f>+K101*I101</f>
        <v>115</v>
      </c>
      <c r="M101" s="202"/>
      <c r="N101" s="198"/>
      <c r="O101" s="198"/>
      <c r="P101" s="198">
        <f t="shared" si="7"/>
        <v>115</v>
      </c>
      <c r="Q101" s="178"/>
      <c r="R101" s="60"/>
    </row>
    <row r="102" spans="1:18" ht="12" outlineLevel="1">
      <c r="A102" s="13"/>
      <c r="B102" s="13"/>
      <c r="C102" s="363" t="s">
        <v>224</v>
      </c>
      <c r="D102" s="363"/>
      <c r="E102" s="201"/>
      <c r="F102" s="202"/>
      <c r="G102" s="202"/>
      <c r="H102" s="198"/>
      <c r="I102" s="367">
        <v>5.25</v>
      </c>
      <c r="J102" s="370" t="s">
        <v>114</v>
      </c>
      <c r="K102" s="369">
        <v>1</v>
      </c>
      <c r="L102" s="263">
        <f>+K102*I102</f>
        <v>5.25</v>
      </c>
      <c r="M102" s="202"/>
      <c r="N102" s="198"/>
      <c r="O102" s="198"/>
      <c r="P102" s="198">
        <f t="shared" si="7"/>
        <v>5.25</v>
      </c>
      <c r="Q102" s="178"/>
      <c r="R102" s="60"/>
    </row>
    <row r="103" spans="1:18" ht="12" outlineLevel="1">
      <c r="A103" s="13" t="s">
        <v>149</v>
      </c>
      <c r="B103" s="13" t="s">
        <v>169</v>
      </c>
      <c r="C103" s="13"/>
      <c r="D103" s="13"/>
      <c r="E103" s="201" t="s">
        <v>139</v>
      </c>
      <c r="F103" s="202"/>
      <c r="G103" s="202"/>
      <c r="H103" s="198"/>
      <c r="I103" s="198"/>
      <c r="J103" s="200"/>
      <c r="K103" s="201"/>
      <c r="L103" s="198"/>
      <c r="M103" s="365">
        <v>6</v>
      </c>
      <c r="N103" s="337">
        <f>Assumptions!G29</f>
        <v>10.6</v>
      </c>
      <c r="O103" s="198">
        <f>+N103*M103</f>
        <v>63.599999999999994</v>
      </c>
      <c r="P103" s="198">
        <f t="shared" si="7"/>
        <v>63.599999999999994</v>
      </c>
      <c r="Q103" s="178"/>
      <c r="R103" s="60"/>
    </row>
    <row r="104" spans="1:18" ht="12" outlineLevel="1">
      <c r="A104" s="13" t="s">
        <v>149</v>
      </c>
      <c r="B104" s="13" t="s">
        <v>351</v>
      </c>
      <c r="C104" s="13"/>
      <c r="D104" s="13"/>
      <c r="E104" s="201" t="s">
        <v>264</v>
      </c>
      <c r="F104" s="365">
        <v>2</v>
      </c>
      <c r="G104" s="268">
        <f>Machinery!U17+Machinery!V19</f>
        <v>7.6348</v>
      </c>
      <c r="H104" s="198">
        <f>G104*F104</f>
        <v>15.2696</v>
      </c>
      <c r="I104" s="198"/>
      <c r="J104" s="200"/>
      <c r="K104" s="201"/>
      <c r="L104" s="198"/>
      <c r="M104" s="365">
        <v>1</v>
      </c>
      <c r="N104" s="337">
        <f>Assumptions!G28</f>
        <v>14</v>
      </c>
      <c r="O104" s="198">
        <f>+N104*M104</f>
        <v>14</v>
      </c>
      <c r="P104" s="198">
        <f t="shared" si="7"/>
        <v>29.2696</v>
      </c>
      <c r="Q104" s="178"/>
      <c r="R104" s="60"/>
    </row>
    <row r="105" spans="1:18" ht="12" outlineLevel="1">
      <c r="A105" s="13"/>
      <c r="B105" s="13"/>
      <c r="C105" s="363" t="s">
        <v>213</v>
      </c>
      <c r="D105" s="363"/>
      <c r="E105" s="201"/>
      <c r="F105" s="268"/>
      <c r="G105" s="268"/>
      <c r="H105" s="198"/>
      <c r="I105" s="367">
        <v>125</v>
      </c>
      <c r="J105" s="370" t="s">
        <v>114</v>
      </c>
      <c r="K105" s="369">
        <v>0.5</v>
      </c>
      <c r="L105" s="198">
        <f>+K105*I105</f>
        <v>62.5</v>
      </c>
      <c r="M105" s="202"/>
      <c r="N105" s="198"/>
      <c r="O105" s="198"/>
      <c r="P105" s="198">
        <f>O105+L105+H105</f>
        <v>62.5</v>
      </c>
      <c r="Q105" s="178"/>
      <c r="R105" s="60"/>
    </row>
    <row r="106" spans="1:18" ht="12" outlineLevel="1">
      <c r="A106" s="13" t="s">
        <v>149</v>
      </c>
      <c r="B106" s="13" t="s">
        <v>170</v>
      </c>
      <c r="C106" s="13"/>
      <c r="D106" s="13"/>
      <c r="E106" s="201" t="s">
        <v>139</v>
      </c>
      <c r="F106" s="202"/>
      <c r="G106" s="202"/>
      <c r="H106" s="198"/>
      <c r="I106" s="198"/>
      <c r="J106" s="200"/>
      <c r="K106" s="201"/>
      <c r="L106" s="198"/>
      <c r="M106" s="365">
        <v>0.5</v>
      </c>
      <c r="N106" s="337">
        <f>Assumptions!G28</f>
        <v>14</v>
      </c>
      <c r="O106" s="198">
        <f>+N106*M106</f>
        <v>7</v>
      </c>
      <c r="P106" s="198">
        <f t="shared" si="7"/>
        <v>7</v>
      </c>
      <c r="Q106" s="178"/>
      <c r="R106" s="60"/>
    </row>
    <row r="107" spans="1:18" ht="12" outlineLevel="1">
      <c r="A107" s="13" t="s">
        <v>149</v>
      </c>
      <c r="B107" s="13" t="s">
        <v>171</v>
      </c>
      <c r="C107" s="13"/>
      <c r="D107" s="13"/>
      <c r="E107" s="201"/>
      <c r="F107" s="202"/>
      <c r="G107" s="202"/>
      <c r="H107" s="198"/>
      <c r="I107" s="198"/>
      <c r="J107" s="200"/>
      <c r="K107" s="201"/>
      <c r="L107" s="198"/>
      <c r="M107" s="365">
        <v>1</v>
      </c>
      <c r="N107" s="337">
        <f>Assumptions!G28</f>
        <v>14</v>
      </c>
      <c r="O107" s="198">
        <f>+M107*N107</f>
        <v>14</v>
      </c>
      <c r="P107" s="198">
        <f t="shared" si="7"/>
        <v>14</v>
      </c>
      <c r="Q107" s="206" t="s">
        <v>2</v>
      </c>
      <c r="R107" s="60"/>
    </row>
    <row r="108" spans="1:144" s="177" customFormat="1" ht="12" outlineLevel="1">
      <c r="A108" s="227" t="s">
        <v>172</v>
      </c>
      <c r="B108" s="227"/>
      <c r="C108" s="227"/>
      <c r="D108" s="227"/>
      <c r="E108" s="228"/>
      <c r="F108" s="229"/>
      <c r="G108" s="229"/>
      <c r="H108" s="230">
        <f>SUM(H92:H107)+SUM(H87:H88)</f>
        <v>42.124428</v>
      </c>
      <c r="I108" s="244"/>
      <c r="J108" s="231"/>
      <c r="K108" s="228"/>
      <c r="L108" s="230">
        <f>SUM(L92:L107)+SUM(L87:L88)</f>
        <v>401.09000000000003</v>
      </c>
      <c r="M108" s="260">
        <f>SUM(M92:M107)+SUM(M87:M88)</f>
        <v>39.06</v>
      </c>
      <c r="N108" s="230"/>
      <c r="O108" s="230">
        <f>SUM(O92:O107)+SUM(O87:O88)</f>
        <v>429.336</v>
      </c>
      <c r="P108" s="230">
        <f>SUM(P92:P107)+SUM(P87:P88)</f>
        <v>872.5504280000001</v>
      </c>
      <c r="Q108" s="230">
        <f>Q85+P108</f>
        <v>9650.091761666667</v>
      </c>
      <c r="R108" s="60"/>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c r="BI108" s="169"/>
      <c r="BJ108" s="169"/>
      <c r="BK108" s="169"/>
      <c r="BL108" s="169"/>
      <c r="BM108" s="169"/>
      <c r="BN108" s="169"/>
      <c r="BO108" s="169"/>
      <c r="BP108" s="169"/>
      <c r="BQ108" s="169"/>
      <c r="BR108" s="169"/>
      <c r="BS108" s="169"/>
      <c r="BT108" s="169"/>
      <c r="BU108" s="169"/>
      <c r="BV108" s="169"/>
      <c r="BW108" s="169"/>
      <c r="BX108" s="169"/>
      <c r="BY108" s="169"/>
      <c r="BZ108" s="169"/>
      <c r="CA108" s="169"/>
      <c r="CB108" s="169"/>
      <c r="CC108" s="169"/>
      <c r="CD108" s="169"/>
      <c r="CE108" s="169"/>
      <c r="CF108" s="169"/>
      <c r="CG108" s="169"/>
      <c r="CH108" s="169"/>
      <c r="CI108" s="169"/>
      <c r="CJ108" s="169"/>
      <c r="CK108" s="169"/>
      <c r="CL108" s="169"/>
      <c r="CM108" s="169"/>
      <c r="CN108" s="169"/>
      <c r="CO108" s="169"/>
      <c r="CP108" s="169"/>
      <c r="CQ108" s="169"/>
      <c r="CR108" s="169"/>
      <c r="CS108" s="169"/>
      <c r="CT108" s="169"/>
      <c r="CU108" s="169"/>
      <c r="CV108" s="169"/>
      <c r="CW108" s="169"/>
      <c r="CX108" s="169"/>
      <c r="CY108" s="169"/>
      <c r="CZ108" s="169"/>
      <c r="DA108" s="169"/>
      <c r="DB108" s="169"/>
      <c r="DC108" s="169"/>
      <c r="DD108" s="169"/>
      <c r="DE108" s="169"/>
      <c r="DF108" s="169"/>
      <c r="DG108" s="169"/>
      <c r="DH108" s="169"/>
      <c r="DI108" s="169"/>
      <c r="DJ108" s="169"/>
      <c r="DK108" s="169"/>
      <c r="DL108" s="169"/>
      <c r="DM108" s="169"/>
      <c r="DN108" s="169"/>
      <c r="DO108" s="169"/>
      <c r="DP108" s="169"/>
      <c r="DQ108" s="169"/>
      <c r="DR108" s="169"/>
      <c r="DS108" s="169"/>
      <c r="DT108" s="169"/>
      <c r="DU108" s="169"/>
      <c r="DV108" s="169"/>
      <c r="DW108" s="169"/>
      <c r="DX108" s="169"/>
      <c r="DY108" s="169"/>
      <c r="DZ108" s="169"/>
      <c r="EA108" s="169"/>
      <c r="EB108" s="169"/>
      <c r="EC108" s="169"/>
      <c r="ED108" s="169"/>
      <c r="EE108" s="169"/>
      <c r="EF108" s="169"/>
      <c r="EG108" s="169"/>
      <c r="EH108" s="169"/>
      <c r="EI108" s="169"/>
      <c r="EJ108" s="169"/>
      <c r="EK108" s="169"/>
      <c r="EL108" s="169"/>
      <c r="EM108" s="169"/>
      <c r="EN108" s="169"/>
    </row>
    <row r="109" spans="1:18" ht="12" outlineLevel="1">
      <c r="A109" s="153" t="s">
        <v>29</v>
      </c>
      <c r="B109" s="13"/>
      <c r="C109" s="13"/>
      <c r="D109" s="13"/>
      <c r="E109" s="201"/>
      <c r="F109" s="202"/>
      <c r="G109" s="202"/>
      <c r="H109" s="198" t="s">
        <v>2</v>
      </c>
      <c r="I109" s="198"/>
      <c r="J109" s="200"/>
      <c r="K109" s="201"/>
      <c r="L109" s="198"/>
      <c r="M109" s="202"/>
      <c r="N109" s="198"/>
      <c r="O109" s="198"/>
      <c r="P109" s="198"/>
      <c r="Q109" s="206"/>
      <c r="R109" s="60"/>
    </row>
    <row r="110" spans="1:18" ht="12" outlineLevel="2">
      <c r="A110" s="13" t="s">
        <v>144</v>
      </c>
      <c r="B110" s="13" t="s">
        <v>153</v>
      </c>
      <c r="C110" s="13"/>
      <c r="D110" s="13"/>
      <c r="E110" s="201" t="s">
        <v>139</v>
      </c>
      <c r="F110" s="202"/>
      <c r="G110" s="202"/>
      <c r="H110" s="198"/>
      <c r="I110" s="367">
        <v>7</v>
      </c>
      <c r="J110" s="370" t="s">
        <v>154</v>
      </c>
      <c r="K110" s="369">
        <v>1</v>
      </c>
      <c r="L110" s="198">
        <f>+K110*I110</f>
        <v>7</v>
      </c>
      <c r="M110" s="365">
        <v>0.5</v>
      </c>
      <c r="N110" s="337">
        <f>Assumptions!G29</f>
        <v>10.6</v>
      </c>
      <c r="O110" s="198">
        <f>+N110*M110</f>
        <v>5.3</v>
      </c>
      <c r="P110" s="198">
        <f aca="true" t="shared" si="8" ref="P110:P143">O110+L110+H110</f>
        <v>12.3</v>
      </c>
      <c r="Q110" s="178"/>
      <c r="R110" s="60"/>
    </row>
    <row r="111" spans="1:18" ht="12" outlineLevel="2">
      <c r="A111" s="13" t="s">
        <v>144</v>
      </c>
      <c r="B111" s="13" t="s">
        <v>173</v>
      </c>
      <c r="C111" s="13"/>
      <c r="D111" s="13"/>
      <c r="E111" s="201" t="s">
        <v>139</v>
      </c>
      <c r="F111" s="202"/>
      <c r="G111" s="202"/>
      <c r="H111" s="198"/>
      <c r="I111" s="198"/>
      <c r="J111" s="200"/>
      <c r="K111" s="201"/>
      <c r="L111" s="198"/>
      <c r="M111" s="365">
        <v>10</v>
      </c>
      <c r="N111" s="337">
        <f>Assumptions!G29</f>
        <v>10.6</v>
      </c>
      <c r="O111" s="198">
        <f>+N111*M111</f>
        <v>106</v>
      </c>
      <c r="P111" s="198">
        <f t="shared" si="8"/>
        <v>106</v>
      </c>
      <c r="Q111" s="178"/>
      <c r="R111" s="60"/>
    </row>
    <row r="112" spans="1:18" ht="12" outlineLevel="2">
      <c r="A112" s="13" t="s">
        <v>144</v>
      </c>
      <c r="B112" s="13" t="s">
        <v>174</v>
      </c>
      <c r="C112" s="13"/>
      <c r="D112" s="13"/>
      <c r="E112" s="201" t="s">
        <v>264</v>
      </c>
      <c r="F112" s="365">
        <v>2</v>
      </c>
      <c r="G112" s="268">
        <f>Machinery!U17+Machinery!V19</f>
        <v>7.6348</v>
      </c>
      <c r="H112" s="198">
        <f>G112*F112</f>
        <v>15.2696</v>
      </c>
      <c r="I112" s="203"/>
      <c r="J112" s="200" t="s">
        <v>2</v>
      </c>
      <c r="K112" s="201"/>
      <c r="L112" s="203"/>
      <c r="M112" s="365">
        <v>1</v>
      </c>
      <c r="N112" s="337">
        <f>Assumptions!G28</f>
        <v>14</v>
      </c>
      <c r="O112" s="198">
        <f>+N112*M112</f>
        <v>14</v>
      </c>
      <c r="P112" s="198">
        <f t="shared" si="8"/>
        <v>29.2696</v>
      </c>
      <c r="Q112" s="178"/>
      <c r="R112" s="60"/>
    </row>
    <row r="113" spans="1:18" s="7" customFormat="1" ht="12" outlineLevel="2">
      <c r="A113" s="13"/>
      <c r="B113" s="13"/>
      <c r="C113" s="363" t="s">
        <v>216</v>
      </c>
      <c r="D113" s="363"/>
      <c r="E113" s="201" t="s">
        <v>2</v>
      </c>
      <c r="F113" s="202"/>
      <c r="G113" s="202"/>
      <c r="H113" s="198"/>
      <c r="I113" s="367">
        <v>0.42</v>
      </c>
      <c r="J113" s="370" t="s">
        <v>26</v>
      </c>
      <c r="K113" s="369">
        <v>33.87</v>
      </c>
      <c r="L113" s="203">
        <f>+K113*I113</f>
        <v>14.225399999999999</v>
      </c>
      <c r="M113" s="202"/>
      <c r="N113" s="198"/>
      <c r="O113" s="198"/>
      <c r="P113" s="198">
        <f t="shared" si="8"/>
        <v>14.225399999999999</v>
      </c>
      <c r="Q113" s="178"/>
      <c r="R113" s="60"/>
    </row>
    <row r="114" spans="1:18" s="7" customFormat="1" ht="12" outlineLevel="2">
      <c r="A114" s="13"/>
      <c r="B114" s="13"/>
      <c r="C114" s="363" t="s">
        <v>175</v>
      </c>
      <c r="D114" s="363"/>
      <c r="E114" s="201"/>
      <c r="F114" s="202"/>
      <c r="G114" s="202"/>
      <c r="H114" s="198"/>
      <c r="I114" s="367">
        <v>0.32</v>
      </c>
      <c r="J114" s="370" t="s">
        <v>26</v>
      </c>
      <c r="K114" s="369">
        <v>10</v>
      </c>
      <c r="L114" s="203">
        <f>+K114*I114</f>
        <v>3.2</v>
      </c>
      <c r="M114" s="202"/>
      <c r="N114" s="198"/>
      <c r="O114" s="198"/>
      <c r="P114" s="198">
        <f t="shared" si="8"/>
        <v>3.2</v>
      </c>
      <c r="Q114" s="178"/>
      <c r="R114" s="60"/>
    </row>
    <row r="115" spans="1:18" s="7" customFormat="1" ht="12" outlineLevel="2">
      <c r="A115" s="13"/>
      <c r="B115" s="13"/>
      <c r="C115" s="363" t="s">
        <v>230</v>
      </c>
      <c r="D115" s="363"/>
      <c r="E115" s="201"/>
      <c r="F115" s="202"/>
      <c r="G115" s="202"/>
      <c r="H115" s="198"/>
      <c r="I115" s="367">
        <v>1.02</v>
      </c>
      <c r="J115" s="370" t="s">
        <v>26</v>
      </c>
      <c r="K115" s="369">
        <v>1.14</v>
      </c>
      <c r="L115" s="203">
        <f>+K115*I115</f>
        <v>1.1627999999999998</v>
      </c>
      <c r="M115" s="202"/>
      <c r="N115" s="198"/>
      <c r="O115" s="198"/>
      <c r="P115" s="198">
        <f t="shared" si="8"/>
        <v>1.1627999999999998</v>
      </c>
      <c r="Q115" s="178"/>
      <c r="R115" s="60"/>
    </row>
    <row r="116" spans="1:18" s="7" customFormat="1" ht="12" outlineLevel="2">
      <c r="A116" s="13" t="s">
        <v>144</v>
      </c>
      <c r="B116" s="13" t="s">
        <v>176</v>
      </c>
      <c r="C116" s="13"/>
      <c r="D116" s="13"/>
      <c r="E116" s="201" t="s">
        <v>139</v>
      </c>
      <c r="F116" s="202"/>
      <c r="G116" s="202"/>
      <c r="H116" s="198"/>
      <c r="I116" s="198"/>
      <c r="J116" s="200"/>
      <c r="K116" s="201"/>
      <c r="L116" s="198"/>
      <c r="M116" s="365">
        <v>6</v>
      </c>
      <c r="N116" s="337">
        <f>Assumptions!G29</f>
        <v>10.6</v>
      </c>
      <c r="O116" s="198">
        <f>+N116*M116</f>
        <v>63.599999999999994</v>
      </c>
      <c r="P116" s="198">
        <f t="shared" si="8"/>
        <v>63.599999999999994</v>
      </c>
      <c r="Q116" s="178"/>
      <c r="R116" s="60"/>
    </row>
    <row r="117" spans="1:18" s="7" customFormat="1" ht="12" outlineLevel="2">
      <c r="A117" s="13" t="s">
        <v>140</v>
      </c>
      <c r="B117" s="13" t="s">
        <v>161</v>
      </c>
      <c r="C117" s="13"/>
      <c r="D117" s="13"/>
      <c r="E117" s="201" t="s">
        <v>139</v>
      </c>
      <c r="F117" s="202"/>
      <c r="G117" s="202"/>
      <c r="H117" s="198"/>
      <c r="I117" s="198"/>
      <c r="J117" s="200"/>
      <c r="K117" s="201"/>
      <c r="L117" s="198"/>
      <c r="M117" s="365">
        <v>6</v>
      </c>
      <c r="N117" s="337">
        <f>Assumptions!G29</f>
        <v>10.6</v>
      </c>
      <c r="O117" s="198">
        <f>+N117*M117</f>
        <v>63.599999999999994</v>
      </c>
      <c r="P117" s="198">
        <f t="shared" si="8"/>
        <v>63.599999999999994</v>
      </c>
      <c r="Q117" s="178"/>
      <c r="R117" s="60"/>
    </row>
    <row r="118" spans="1:18" s="7" customFormat="1" ht="12" outlineLevel="2">
      <c r="A118" s="13" t="s">
        <v>140</v>
      </c>
      <c r="B118" s="272" t="s">
        <v>166</v>
      </c>
      <c r="C118" s="13"/>
      <c r="D118" s="13"/>
      <c r="E118" s="201"/>
      <c r="F118" s="202"/>
      <c r="G118" s="202"/>
      <c r="H118" s="198"/>
      <c r="I118" s="198"/>
      <c r="J118" s="200"/>
      <c r="K118" s="201"/>
      <c r="L118" s="198"/>
      <c r="M118" s="365">
        <v>1</v>
      </c>
      <c r="N118" s="337">
        <f>Assumptions!G28</f>
        <v>14</v>
      </c>
      <c r="O118" s="198">
        <f>+M118*N118</f>
        <v>14</v>
      </c>
      <c r="P118" s="198">
        <f t="shared" si="8"/>
        <v>14</v>
      </c>
      <c r="Q118" s="178"/>
      <c r="R118" s="60"/>
    </row>
    <row r="119" spans="1:18" s="7" customFormat="1" ht="12" outlineLevel="2">
      <c r="A119" s="13" t="s">
        <v>140</v>
      </c>
      <c r="B119" s="13" t="s">
        <v>356</v>
      </c>
      <c r="C119" s="13"/>
      <c r="D119" s="13"/>
      <c r="E119" s="6" t="s">
        <v>189</v>
      </c>
      <c r="F119" s="365">
        <v>0.65</v>
      </c>
      <c r="G119" s="202">
        <f>Machinery!U5+Machinery!U9</f>
        <v>20.65756</v>
      </c>
      <c r="H119" s="198">
        <f>G119*F119</f>
        <v>13.427414</v>
      </c>
      <c r="I119" s="198"/>
      <c r="J119" s="200"/>
      <c r="K119" s="201"/>
      <c r="L119" s="198"/>
      <c r="M119" s="202">
        <f>+F119*1.2</f>
        <v>0.78</v>
      </c>
      <c r="N119" s="337">
        <f>Assumptions!G29</f>
        <v>10.6</v>
      </c>
      <c r="O119" s="198">
        <f>+N119*M119</f>
        <v>8.268</v>
      </c>
      <c r="P119" s="198">
        <f t="shared" si="8"/>
        <v>21.695414</v>
      </c>
      <c r="Q119" s="178"/>
      <c r="R119" s="60"/>
    </row>
    <row r="120" spans="1:18" s="7" customFormat="1" ht="12" outlineLevel="2">
      <c r="A120" s="13"/>
      <c r="B120" s="13"/>
      <c r="C120" s="363" t="s">
        <v>350</v>
      </c>
      <c r="D120" s="363"/>
      <c r="E120" s="6"/>
      <c r="F120" s="268"/>
      <c r="G120" s="202"/>
      <c r="H120" s="198"/>
      <c r="I120" s="367">
        <v>79.8</v>
      </c>
      <c r="J120" s="370" t="s">
        <v>26</v>
      </c>
      <c r="K120" s="369">
        <v>1</v>
      </c>
      <c r="L120" s="203">
        <f>+K120*I120</f>
        <v>79.8</v>
      </c>
      <c r="M120" s="202"/>
      <c r="N120" s="198"/>
      <c r="O120" s="198"/>
      <c r="P120" s="198">
        <f>O120+L120+H120</f>
        <v>79.8</v>
      </c>
      <c r="Q120" s="178"/>
      <c r="R120" s="60"/>
    </row>
    <row r="121" spans="1:18" s="7" customFormat="1" ht="12" outlineLevel="2">
      <c r="A121" s="13"/>
      <c r="B121" s="13"/>
      <c r="C121" s="363" t="s">
        <v>371</v>
      </c>
      <c r="D121" s="363"/>
      <c r="E121" s="6"/>
      <c r="F121" s="268"/>
      <c r="G121" s="202"/>
      <c r="H121" s="198"/>
      <c r="I121" s="367">
        <v>5.6</v>
      </c>
      <c r="J121" s="370" t="s">
        <v>35</v>
      </c>
      <c r="K121" s="369">
        <v>14</v>
      </c>
      <c r="L121" s="198">
        <f>+K121*I121</f>
        <v>78.39999999999999</v>
      </c>
      <c r="M121" s="202"/>
      <c r="N121" s="198"/>
      <c r="O121" s="198"/>
      <c r="P121" s="198">
        <f>O121+L121+H121</f>
        <v>78.39999999999999</v>
      </c>
      <c r="Q121" s="178"/>
      <c r="R121" s="60"/>
    </row>
    <row r="122" spans="1:18" s="7" customFormat="1" ht="12" outlineLevel="2">
      <c r="A122" s="13"/>
      <c r="B122" s="13"/>
      <c r="C122" s="363" t="s">
        <v>372</v>
      </c>
      <c r="D122" s="363"/>
      <c r="E122" s="6"/>
      <c r="F122" s="268"/>
      <c r="G122" s="202"/>
      <c r="H122" s="198"/>
      <c r="I122" s="367">
        <v>3</v>
      </c>
      <c r="J122" s="370" t="s">
        <v>35</v>
      </c>
      <c r="K122" s="369">
        <v>14</v>
      </c>
      <c r="L122" s="198">
        <f>+K122*I122</f>
        <v>42</v>
      </c>
      <c r="M122" s="202"/>
      <c r="N122" s="198"/>
      <c r="O122" s="198"/>
      <c r="P122" s="198">
        <f>O122+L122+H122</f>
        <v>42</v>
      </c>
      <c r="Q122" s="178"/>
      <c r="R122" s="60"/>
    </row>
    <row r="123" spans="1:18" s="7" customFormat="1" ht="12" outlineLevel="2">
      <c r="A123" s="13" t="s">
        <v>140</v>
      </c>
      <c r="B123" s="13" t="s">
        <v>231</v>
      </c>
      <c r="C123" s="13"/>
      <c r="D123" s="13"/>
      <c r="E123" s="201" t="s">
        <v>265</v>
      </c>
      <c r="F123" s="365">
        <v>10</v>
      </c>
      <c r="G123" s="268">
        <f>Machinery!V18</f>
        <v>12.928999999999998</v>
      </c>
      <c r="H123" s="198">
        <f>G123*F123</f>
        <v>129.29</v>
      </c>
      <c r="I123" s="198"/>
      <c r="J123" s="200"/>
      <c r="K123" s="201"/>
      <c r="L123" s="198"/>
      <c r="M123" s="365">
        <v>5</v>
      </c>
      <c r="N123" s="337">
        <f>Assumptions!G28</f>
        <v>14</v>
      </c>
      <c r="O123" s="198">
        <f>+N123*M123</f>
        <v>70</v>
      </c>
      <c r="P123" s="198">
        <f t="shared" si="8"/>
        <v>199.29</v>
      </c>
      <c r="Q123" s="178"/>
      <c r="R123" s="60"/>
    </row>
    <row r="124" spans="1:18" s="7" customFormat="1" ht="12" outlineLevel="2">
      <c r="A124" s="13" t="s">
        <v>140</v>
      </c>
      <c r="B124" s="13" t="s">
        <v>174</v>
      </c>
      <c r="C124" s="13"/>
      <c r="D124" s="13"/>
      <c r="E124" s="201" t="s">
        <v>264</v>
      </c>
      <c r="F124" s="365">
        <v>2</v>
      </c>
      <c r="G124" s="202">
        <f>Machinery!U17+Machinery!V19</f>
        <v>7.6348</v>
      </c>
      <c r="H124" s="198">
        <f>G124*F124</f>
        <v>15.2696</v>
      </c>
      <c r="I124" s="203"/>
      <c r="J124" s="200" t="s">
        <v>2</v>
      </c>
      <c r="K124" s="201"/>
      <c r="L124" s="203"/>
      <c r="M124" s="365">
        <v>1</v>
      </c>
      <c r="N124" s="337">
        <f>Assumptions!G28</f>
        <v>14</v>
      </c>
      <c r="O124" s="198">
        <f>+N124*M124</f>
        <v>14</v>
      </c>
      <c r="P124" s="198">
        <f t="shared" si="8"/>
        <v>29.2696</v>
      </c>
      <c r="Q124" s="178"/>
      <c r="R124" s="60"/>
    </row>
    <row r="125" spans="1:18" s="7" customFormat="1" ht="12" outlineLevel="2">
      <c r="A125" s="13"/>
      <c r="B125" s="13"/>
      <c r="C125" s="363" t="s">
        <v>214</v>
      </c>
      <c r="D125" s="363"/>
      <c r="E125" s="201" t="s">
        <v>2</v>
      </c>
      <c r="F125" s="202"/>
      <c r="G125" s="202"/>
      <c r="H125" s="198"/>
      <c r="I125" s="367">
        <v>0.42</v>
      </c>
      <c r="J125" s="370" t="s">
        <v>26</v>
      </c>
      <c r="K125" s="369">
        <v>33.87</v>
      </c>
      <c r="L125" s="203">
        <f>+K125*I125</f>
        <v>14.225399999999999</v>
      </c>
      <c r="M125" s="202"/>
      <c r="N125" s="198"/>
      <c r="O125" s="198"/>
      <c r="P125" s="198">
        <f t="shared" si="8"/>
        <v>14.225399999999999</v>
      </c>
      <c r="Q125" s="178"/>
      <c r="R125" s="60"/>
    </row>
    <row r="126" spans="1:18" s="7" customFormat="1" ht="12" outlineLevel="2">
      <c r="A126" s="13"/>
      <c r="B126" s="13"/>
      <c r="C126" s="363" t="s">
        <v>175</v>
      </c>
      <c r="D126" s="363"/>
      <c r="E126" s="201"/>
      <c r="F126" s="202"/>
      <c r="G126" s="202"/>
      <c r="H126" s="198"/>
      <c r="I126" s="367">
        <v>0.32</v>
      </c>
      <c r="J126" s="370" t="s">
        <v>26</v>
      </c>
      <c r="K126" s="369">
        <v>10</v>
      </c>
      <c r="L126" s="203">
        <f>+K126*I126</f>
        <v>3.2</v>
      </c>
      <c r="M126" s="202"/>
      <c r="N126" s="198"/>
      <c r="O126" s="198"/>
      <c r="P126" s="198">
        <f t="shared" si="8"/>
        <v>3.2</v>
      </c>
      <c r="Q126" s="178"/>
      <c r="R126" s="60"/>
    </row>
    <row r="127" spans="1:18" s="7" customFormat="1" ht="12" outlineLevel="2">
      <c r="A127" s="13" t="s">
        <v>146</v>
      </c>
      <c r="B127" s="13" t="s">
        <v>153</v>
      </c>
      <c r="C127" s="13"/>
      <c r="D127" s="13"/>
      <c r="E127" s="201" t="s">
        <v>139</v>
      </c>
      <c r="F127" s="202"/>
      <c r="G127" s="202"/>
      <c r="H127" s="198"/>
      <c r="I127" s="367">
        <v>7</v>
      </c>
      <c r="J127" s="370" t="s">
        <v>154</v>
      </c>
      <c r="K127" s="369">
        <v>1</v>
      </c>
      <c r="L127" s="198">
        <f>+K127*I127</f>
        <v>7</v>
      </c>
      <c r="M127" s="365">
        <v>0.5</v>
      </c>
      <c r="N127" s="337">
        <f>Assumptions!G29</f>
        <v>10.6</v>
      </c>
      <c r="O127" s="198">
        <f>+N127*M127</f>
        <v>5.3</v>
      </c>
      <c r="P127" s="198">
        <f t="shared" si="8"/>
        <v>12.3</v>
      </c>
      <c r="Q127" s="178"/>
      <c r="R127" s="60"/>
    </row>
    <row r="128" spans="1:18" s="7" customFormat="1" ht="12" outlineLevel="2">
      <c r="A128" s="13" t="s">
        <v>146</v>
      </c>
      <c r="B128" s="13" t="s">
        <v>231</v>
      </c>
      <c r="C128" s="13"/>
      <c r="D128" s="13"/>
      <c r="E128" s="201" t="s">
        <v>265</v>
      </c>
      <c r="F128" s="365">
        <v>10</v>
      </c>
      <c r="G128" s="268">
        <f>Machinery!V18</f>
        <v>12.928999999999998</v>
      </c>
      <c r="H128" s="198">
        <f>G128*F128</f>
        <v>129.29</v>
      </c>
      <c r="I128" s="198"/>
      <c r="J128" s="200"/>
      <c r="K128" s="201"/>
      <c r="L128" s="198"/>
      <c r="M128" s="365">
        <v>5</v>
      </c>
      <c r="N128" s="337">
        <f>Assumptions!G28</f>
        <v>14</v>
      </c>
      <c r="O128" s="198">
        <f>+N128*M128</f>
        <v>70</v>
      </c>
      <c r="P128" s="198">
        <f t="shared" si="8"/>
        <v>199.29</v>
      </c>
      <c r="Q128" s="178"/>
      <c r="R128" s="60"/>
    </row>
    <row r="129" spans="1:18" ht="12" outlineLevel="2">
      <c r="A129" s="13" t="s">
        <v>146</v>
      </c>
      <c r="B129" s="13" t="s">
        <v>176</v>
      </c>
      <c r="C129" s="13"/>
      <c r="D129" s="13"/>
      <c r="E129" s="201" t="s">
        <v>139</v>
      </c>
      <c r="F129" s="202"/>
      <c r="G129" s="202"/>
      <c r="H129" s="198"/>
      <c r="I129" s="198"/>
      <c r="J129" s="200"/>
      <c r="K129" s="201"/>
      <c r="L129" s="198"/>
      <c r="M129" s="365">
        <v>6</v>
      </c>
      <c r="N129" s="337">
        <f>Assumptions!G29</f>
        <v>10.6</v>
      </c>
      <c r="O129" s="198">
        <f>+N129*M129</f>
        <v>63.599999999999994</v>
      </c>
      <c r="P129" s="198">
        <f t="shared" si="8"/>
        <v>63.599999999999994</v>
      </c>
      <c r="Q129" s="178"/>
      <c r="R129" s="160"/>
    </row>
    <row r="130" spans="1:18" ht="12" outlineLevel="2">
      <c r="A130" s="13" t="s">
        <v>146</v>
      </c>
      <c r="B130" s="13" t="s">
        <v>161</v>
      </c>
      <c r="C130" s="13"/>
      <c r="D130" s="13"/>
      <c r="E130" s="201" t="s">
        <v>139</v>
      </c>
      <c r="F130" s="202"/>
      <c r="G130" s="202"/>
      <c r="H130" s="198"/>
      <c r="I130" s="198"/>
      <c r="J130" s="200"/>
      <c r="K130" s="201"/>
      <c r="L130" s="198"/>
      <c r="M130" s="365">
        <v>6</v>
      </c>
      <c r="N130" s="337">
        <f>Assumptions!G29</f>
        <v>10.6</v>
      </c>
      <c r="O130" s="198">
        <f>+N130*M130</f>
        <v>63.599999999999994</v>
      </c>
      <c r="P130" s="198">
        <f t="shared" si="8"/>
        <v>63.599999999999994</v>
      </c>
      <c r="Q130" s="178"/>
      <c r="R130" s="60"/>
    </row>
    <row r="131" spans="1:18" ht="12" outlineLevel="2">
      <c r="A131" s="13" t="s">
        <v>146</v>
      </c>
      <c r="B131" s="13" t="s">
        <v>215</v>
      </c>
      <c r="C131" s="13"/>
      <c r="D131" s="13"/>
      <c r="E131" s="201" t="s">
        <v>177</v>
      </c>
      <c r="F131" s="202"/>
      <c r="G131" s="202"/>
      <c r="H131" s="198"/>
      <c r="I131" s="367">
        <v>35</v>
      </c>
      <c r="J131" s="370" t="s">
        <v>178</v>
      </c>
      <c r="K131" s="369">
        <v>1</v>
      </c>
      <c r="L131" s="198">
        <f>+K131*I131</f>
        <v>35</v>
      </c>
      <c r="M131" s="202"/>
      <c r="N131" s="198"/>
      <c r="O131" s="198"/>
      <c r="P131" s="198">
        <f t="shared" si="8"/>
        <v>35</v>
      </c>
      <c r="Q131" s="178"/>
      <c r="R131" s="60"/>
    </row>
    <row r="132" spans="1:18" ht="12" outlineLevel="2">
      <c r="A132" s="13" t="s">
        <v>146</v>
      </c>
      <c r="B132" s="13" t="s">
        <v>373</v>
      </c>
      <c r="C132" s="363"/>
      <c r="D132" s="363"/>
      <c r="E132" s="6" t="s">
        <v>189</v>
      </c>
      <c r="F132" s="365">
        <v>0.65</v>
      </c>
      <c r="G132" s="202">
        <f>Machinery!U5+Machinery!U9</f>
        <v>20.65756</v>
      </c>
      <c r="H132" s="198">
        <f>G132*F132</f>
        <v>13.427414</v>
      </c>
      <c r="I132" s="367">
        <v>8.4</v>
      </c>
      <c r="J132" s="370" t="s">
        <v>26</v>
      </c>
      <c r="K132" s="369">
        <v>3</v>
      </c>
      <c r="L132" s="198">
        <f>+K132*I132</f>
        <v>25.200000000000003</v>
      </c>
      <c r="M132" s="202">
        <f>+F132*1.2</f>
        <v>0.78</v>
      </c>
      <c r="N132" s="337">
        <f>Assumptions!G29</f>
        <v>10.6</v>
      </c>
      <c r="O132" s="198">
        <f>+N132*M132</f>
        <v>8.268</v>
      </c>
      <c r="P132" s="198">
        <f>O132+L132+H132</f>
        <v>46.895414</v>
      </c>
      <c r="Q132" s="178"/>
      <c r="R132" s="60"/>
    </row>
    <row r="133" spans="1:18" ht="12" outlineLevel="2">
      <c r="A133" s="13" t="s">
        <v>146</v>
      </c>
      <c r="B133" s="13" t="s">
        <v>174</v>
      </c>
      <c r="C133" s="13"/>
      <c r="D133" s="13"/>
      <c r="E133" s="201" t="s">
        <v>264</v>
      </c>
      <c r="F133" s="365">
        <v>2</v>
      </c>
      <c r="G133" s="268">
        <f>Machinery!U17+Machinery!V19</f>
        <v>7.6348</v>
      </c>
      <c r="H133" s="198">
        <f>G133*F133</f>
        <v>15.2696</v>
      </c>
      <c r="I133" s="203"/>
      <c r="J133" s="200" t="s">
        <v>2</v>
      </c>
      <c r="K133" s="201"/>
      <c r="L133" s="203"/>
      <c r="M133" s="365">
        <v>1</v>
      </c>
      <c r="N133" s="337">
        <f>Assumptions!G28</f>
        <v>14</v>
      </c>
      <c r="O133" s="198">
        <f>+N133*M133</f>
        <v>14</v>
      </c>
      <c r="P133" s="198">
        <f t="shared" si="8"/>
        <v>29.2696</v>
      </c>
      <c r="Q133" s="178"/>
      <c r="R133" s="60"/>
    </row>
    <row r="134" spans="1:18" ht="12" outlineLevel="2">
      <c r="A134" s="13"/>
      <c r="B134" s="13"/>
      <c r="C134" s="363" t="s">
        <v>216</v>
      </c>
      <c r="D134" s="363"/>
      <c r="E134" s="201" t="s">
        <v>2</v>
      </c>
      <c r="F134" s="202"/>
      <c r="G134" s="202"/>
      <c r="H134" s="198"/>
      <c r="I134" s="367">
        <v>0.42</v>
      </c>
      <c r="J134" s="370" t="s">
        <v>26</v>
      </c>
      <c r="K134" s="369">
        <v>33.87</v>
      </c>
      <c r="L134" s="203">
        <f>+K134*I134</f>
        <v>14.225399999999999</v>
      </c>
      <c r="M134" s="202"/>
      <c r="N134" s="198"/>
      <c r="O134" s="198"/>
      <c r="P134" s="198">
        <f t="shared" si="8"/>
        <v>14.225399999999999</v>
      </c>
      <c r="Q134" s="178"/>
      <c r="R134" s="60"/>
    </row>
    <row r="135" spans="1:18" ht="12" outlineLevel="2">
      <c r="A135" s="13"/>
      <c r="B135" s="13"/>
      <c r="C135" s="363" t="s">
        <v>175</v>
      </c>
      <c r="D135" s="363"/>
      <c r="E135" s="201"/>
      <c r="F135" s="202"/>
      <c r="G135" s="202"/>
      <c r="H135" s="198"/>
      <c r="I135" s="367">
        <v>0.32</v>
      </c>
      <c r="J135" s="370" t="s">
        <v>26</v>
      </c>
      <c r="K135" s="369">
        <v>10</v>
      </c>
      <c r="L135" s="203">
        <f>+K135*I135</f>
        <v>3.2</v>
      </c>
      <c r="M135" s="202"/>
      <c r="N135" s="198"/>
      <c r="O135" s="198"/>
      <c r="P135" s="198">
        <f t="shared" si="8"/>
        <v>3.2</v>
      </c>
      <c r="Q135" s="178"/>
      <c r="R135" s="60"/>
    </row>
    <row r="136" spans="1:18" ht="12" outlineLevel="2">
      <c r="A136" s="13" t="s">
        <v>149</v>
      </c>
      <c r="B136" s="272" t="s">
        <v>232</v>
      </c>
      <c r="C136" s="13"/>
      <c r="D136" s="13"/>
      <c r="E136" s="201"/>
      <c r="F136" s="202"/>
      <c r="G136" s="202"/>
      <c r="H136" s="198"/>
      <c r="I136" s="198"/>
      <c r="J136" s="200"/>
      <c r="K136" s="201"/>
      <c r="L136" s="198"/>
      <c r="M136" s="365">
        <v>1</v>
      </c>
      <c r="N136" s="337">
        <f>Assumptions!G28</f>
        <v>14</v>
      </c>
      <c r="O136" s="198">
        <f>+M136*N136</f>
        <v>14</v>
      </c>
      <c r="P136" s="198">
        <f t="shared" si="8"/>
        <v>14</v>
      </c>
      <c r="Q136" s="178"/>
      <c r="R136" s="60"/>
    </row>
    <row r="137" spans="1:18" ht="12" outlineLevel="2">
      <c r="A137" s="13" t="s">
        <v>149</v>
      </c>
      <c r="B137" s="13" t="s">
        <v>357</v>
      </c>
      <c r="C137" s="13"/>
      <c r="D137" s="13"/>
      <c r="E137" s="6" t="s">
        <v>189</v>
      </c>
      <c r="F137" s="365">
        <v>0.65</v>
      </c>
      <c r="G137" s="202">
        <f>Machinery!U5+Machinery!U9</f>
        <v>20.65756</v>
      </c>
      <c r="H137" s="198">
        <f>G137*F137</f>
        <v>13.427414</v>
      </c>
      <c r="I137" s="198"/>
      <c r="J137" s="200"/>
      <c r="K137" s="201"/>
      <c r="L137" s="198"/>
      <c r="M137" s="202">
        <f>+F137*1.2</f>
        <v>0.78</v>
      </c>
      <c r="N137" s="337">
        <f>Assumptions!G29</f>
        <v>10.6</v>
      </c>
      <c r="O137" s="198">
        <f>+N137*M137</f>
        <v>8.268</v>
      </c>
      <c r="P137" s="198">
        <f t="shared" si="8"/>
        <v>21.695414</v>
      </c>
      <c r="Q137" s="178"/>
      <c r="R137" s="60"/>
    </row>
    <row r="138" spans="1:18" ht="12" outlineLevel="2">
      <c r="A138" s="13"/>
      <c r="B138" s="13"/>
      <c r="C138" s="363" t="s">
        <v>386</v>
      </c>
      <c r="D138" s="363"/>
      <c r="E138" s="6"/>
      <c r="F138" s="202"/>
      <c r="G138" s="202"/>
      <c r="H138" s="198"/>
      <c r="I138" s="367">
        <v>14</v>
      </c>
      <c r="J138" s="370" t="s">
        <v>26</v>
      </c>
      <c r="K138" s="369">
        <v>2</v>
      </c>
      <c r="L138" s="198">
        <f>+K138*I138</f>
        <v>28</v>
      </c>
      <c r="M138" s="202"/>
      <c r="N138" s="198"/>
      <c r="O138" s="198"/>
      <c r="P138" s="198">
        <f>O138+L138+H138</f>
        <v>28</v>
      </c>
      <c r="Q138" s="178"/>
      <c r="R138" s="60"/>
    </row>
    <row r="139" spans="1:18" ht="12" outlineLevel="2">
      <c r="A139" s="13"/>
      <c r="B139" s="13"/>
      <c r="C139" s="363" t="s">
        <v>371</v>
      </c>
      <c r="D139" s="363"/>
      <c r="E139" s="6"/>
      <c r="F139" s="268"/>
      <c r="G139" s="202"/>
      <c r="H139" s="198"/>
      <c r="I139" s="367">
        <v>5.6</v>
      </c>
      <c r="J139" s="370" t="s">
        <v>35</v>
      </c>
      <c r="K139" s="369">
        <v>14</v>
      </c>
      <c r="L139" s="198">
        <f>+K139*I139</f>
        <v>78.39999999999999</v>
      </c>
      <c r="M139" s="202"/>
      <c r="N139" s="198"/>
      <c r="O139" s="198"/>
      <c r="P139" s="198">
        <f t="shared" si="8"/>
        <v>78.39999999999999</v>
      </c>
      <c r="Q139" s="178"/>
      <c r="R139" s="60"/>
    </row>
    <row r="140" spans="1:18" ht="12" outlineLevel="2">
      <c r="A140" s="13" t="s">
        <v>2</v>
      </c>
      <c r="B140" s="13" t="s">
        <v>2</v>
      </c>
      <c r="C140" s="363" t="s">
        <v>372</v>
      </c>
      <c r="D140" s="363"/>
      <c r="E140" s="6"/>
      <c r="F140" s="268"/>
      <c r="G140" s="202"/>
      <c r="H140" s="198"/>
      <c r="I140" s="367">
        <v>3</v>
      </c>
      <c r="J140" s="370" t="s">
        <v>35</v>
      </c>
      <c r="K140" s="369">
        <v>14</v>
      </c>
      <c r="L140" s="198">
        <f>+K140*I140</f>
        <v>42</v>
      </c>
      <c r="M140" s="202"/>
      <c r="N140" s="198"/>
      <c r="O140" s="198"/>
      <c r="P140" s="198">
        <f t="shared" si="8"/>
        <v>42</v>
      </c>
      <c r="Q140" s="178"/>
      <c r="R140" s="60"/>
    </row>
    <row r="141" spans="1:18" ht="12" outlineLevel="2">
      <c r="A141" s="13" t="s">
        <v>149</v>
      </c>
      <c r="B141" s="13" t="s">
        <v>174</v>
      </c>
      <c r="C141" s="13"/>
      <c r="D141" s="13"/>
      <c r="E141" s="201" t="s">
        <v>264</v>
      </c>
      <c r="F141" s="365">
        <v>2</v>
      </c>
      <c r="G141" s="268">
        <f>Machinery!U17+Machinery!V19</f>
        <v>7.6348</v>
      </c>
      <c r="H141" s="198">
        <f>G141*F141</f>
        <v>15.2696</v>
      </c>
      <c r="I141" s="203"/>
      <c r="J141" s="200" t="s">
        <v>2</v>
      </c>
      <c r="K141" s="201"/>
      <c r="L141" s="203"/>
      <c r="M141" s="365">
        <v>1</v>
      </c>
      <c r="N141" s="337">
        <f>Assumptions!G28</f>
        <v>14</v>
      </c>
      <c r="O141" s="198">
        <f>+N141*M141</f>
        <v>14</v>
      </c>
      <c r="P141" s="198">
        <f t="shared" si="8"/>
        <v>29.2696</v>
      </c>
      <c r="Q141" s="178"/>
      <c r="R141" s="60"/>
    </row>
    <row r="142" spans="1:18" ht="12" outlineLevel="2">
      <c r="A142" s="13"/>
      <c r="B142" s="13"/>
      <c r="C142" s="363" t="s">
        <v>216</v>
      </c>
      <c r="D142" s="363"/>
      <c r="E142" s="201" t="s">
        <v>2</v>
      </c>
      <c r="F142" s="202"/>
      <c r="G142" s="202"/>
      <c r="H142" s="198"/>
      <c r="I142" s="367">
        <v>0.42</v>
      </c>
      <c r="J142" s="370" t="s">
        <v>26</v>
      </c>
      <c r="K142" s="369">
        <v>33.87</v>
      </c>
      <c r="L142" s="203">
        <f>+K142*I142</f>
        <v>14.225399999999999</v>
      </c>
      <c r="M142" s="202"/>
      <c r="N142" s="198"/>
      <c r="O142" s="198"/>
      <c r="P142" s="198">
        <f t="shared" si="8"/>
        <v>14.225399999999999</v>
      </c>
      <c r="Q142" s="178"/>
      <c r="R142" s="60"/>
    </row>
    <row r="143" spans="1:18" ht="12" outlineLevel="2">
      <c r="A143" s="13"/>
      <c r="B143" s="13"/>
      <c r="C143" s="363" t="s">
        <v>175</v>
      </c>
      <c r="D143" s="363"/>
      <c r="E143" s="201"/>
      <c r="F143" s="202"/>
      <c r="G143" s="202"/>
      <c r="H143" s="198"/>
      <c r="I143" s="367">
        <v>0.32</v>
      </c>
      <c r="J143" s="370" t="s">
        <v>26</v>
      </c>
      <c r="K143" s="369">
        <v>10</v>
      </c>
      <c r="L143" s="203">
        <f>+K143*I143</f>
        <v>3.2</v>
      </c>
      <c r="M143" s="202"/>
      <c r="N143" s="198"/>
      <c r="O143" s="198"/>
      <c r="P143" s="198">
        <f t="shared" si="8"/>
        <v>3.2</v>
      </c>
      <c r="Q143" s="178"/>
      <c r="R143" s="60"/>
    </row>
    <row r="144" spans="1:144" s="177" customFormat="1" ht="12" outlineLevel="1">
      <c r="A144" s="227" t="s">
        <v>179</v>
      </c>
      <c r="B144" s="227"/>
      <c r="C144" s="227"/>
      <c r="D144" s="227"/>
      <c r="E144" s="228"/>
      <c r="F144" s="229"/>
      <c r="G144" s="229"/>
      <c r="H144" s="230">
        <f>SUM(H110:H143)</f>
        <v>359.940642</v>
      </c>
      <c r="I144" s="244"/>
      <c r="J144" s="231"/>
      <c r="K144" s="228"/>
      <c r="L144" s="230">
        <f>SUM(L110:L143)</f>
        <v>493.6643999999999</v>
      </c>
      <c r="M144" s="260">
        <f>SUM(M110:M143)</f>
        <v>53.34</v>
      </c>
      <c r="N144" s="230"/>
      <c r="O144" s="230">
        <f>SUM(O110:O143)</f>
        <v>619.8040000000001</v>
      </c>
      <c r="P144" s="230">
        <f>SUM(P110:P143)</f>
        <v>1473.4090420000005</v>
      </c>
      <c r="Q144" s="230">
        <f>Q108+P144</f>
        <v>11123.500803666668</v>
      </c>
      <c r="R144" s="60"/>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69"/>
      <c r="BF144" s="169"/>
      <c r="BG144" s="169"/>
      <c r="BH144" s="169"/>
      <c r="BI144" s="169"/>
      <c r="BJ144" s="169"/>
      <c r="BK144" s="169"/>
      <c r="BL144" s="169"/>
      <c r="BM144" s="169"/>
      <c r="BN144" s="169"/>
      <c r="BO144" s="169"/>
      <c r="BP144" s="169"/>
      <c r="BQ144" s="169"/>
      <c r="BR144" s="169"/>
      <c r="BS144" s="169"/>
      <c r="BT144" s="169"/>
      <c r="BU144" s="169"/>
      <c r="BV144" s="169"/>
      <c r="BW144" s="169"/>
      <c r="BX144" s="169"/>
      <c r="BY144" s="169"/>
      <c r="BZ144" s="169"/>
      <c r="CA144" s="169"/>
      <c r="CB144" s="169"/>
      <c r="CC144" s="169"/>
      <c r="CD144" s="169"/>
      <c r="CE144" s="169"/>
      <c r="CF144" s="169"/>
      <c r="CG144" s="169"/>
      <c r="CH144" s="169"/>
      <c r="CI144" s="169"/>
      <c r="CJ144" s="169"/>
      <c r="CK144" s="169"/>
      <c r="CL144" s="169"/>
      <c r="CM144" s="169"/>
      <c r="CN144" s="169"/>
      <c r="CO144" s="169"/>
      <c r="CP144" s="169"/>
      <c r="CQ144" s="169"/>
      <c r="CR144" s="169"/>
      <c r="CS144" s="169"/>
      <c r="CT144" s="169"/>
      <c r="CU144" s="169"/>
      <c r="CV144" s="169"/>
      <c r="CW144" s="169"/>
      <c r="CX144" s="169"/>
      <c r="CY144" s="169"/>
      <c r="CZ144" s="169"/>
      <c r="DA144" s="169"/>
      <c r="DB144" s="169"/>
      <c r="DC144" s="169"/>
      <c r="DD144" s="169"/>
      <c r="DE144" s="169"/>
      <c r="DF144" s="169"/>
      <c r="DG144" s="169"/>
      <c r="DH144" s="169"/>
      <c r="DI144" s="169"/>
      <c r="DJ144" s="169"/>
      <c r="DK144" s="169"/>
      <c r="DL144" s="169"/>
      <c r="DM144" s="169"/>
      <c r="DN144" s="169"/>
      <c r="DO144" s="169"/>
      <c r="DP144" s="169"/>
      <c r="DQ144" s="169"/>
      <c r="DR144" s="169"/>
      <c r="DS144" s="169"/>
      <c r="DT144" s="169"/>
      <c r="DU144" s="169"/>
      <c r="DV144" s="169"/>
      <c r="DW144" s="169"/>
      <c r="DX144" s="169"/>
      <c r="DY144" s="169"/>
      <c r="DZ144" s="169"/>
      <c r="EA144" s="169"/>
      <c r="EB144" s="169"/>
      <c r="EC144" s="169"/>
      <c r="ED144" s="169"/>
      <c r="EE144" s="169"/>
      <c r="EF144" s="169"/>
      <c r="EG144" s="169"/>
      <c r="EH144" s="169"/>
      <c r="EI144" s="169"/>
      <c r="EJ144" s="169"/>
      <c r="EK144" s="169"/>
      <c r="EL144" s="169"/>
      <c r="EM144" s="169"/>
      <c r="EN144" s="169"/>
    </row>
    <row r="145" spans="1:18" s="7" customFormat="1" ht="12" outlineLevel="1">
      <c r="A145" s="153" t="s">
        <v>25</v>
      </c>
      <c r="B145" s="13"/>
      <c r="C145" s="13"/>
      <c r="D145" s="13"/>
      <c r="E145" s="201"/>
      <c r="F145" s="202"/>
      <c r="G145" s="202"/>
      <c r="H145" s="198" t="s">
        <v>2</v>
      </c>
      <c r="I145" s="198"/>
      <c r="J145" s="200"/>
      <c r="K145" s="201"/>
      <c r="L145" s="198"/>
      <c r="M145" s="202"/>
      <c r="N145" s="198"/>
      <c r="O145" s="198"/>
      <c r="P145" s="198"/>
      <c r="Q145" s="178"/>
      <c r="R145" s="60"/>
    </row>
    <row r="146" spans="1:18" s="7" customFormat="1" ht="12" outlineLevel="2">
      <c r="A146" s="13" t="s">
        <v>144</v>
      </c>
      <c r="B146" s="13" t="s">
        <v>231</v>
      </c>
      <c r="C146" s="13"/>
      <c r="D146" s="13"/>
      <c r="E146" s="201" t="s">
        <v>265</v>
      </c>
      <c r="F146" s="365">
        <v>8</v>
      </c>
      <c r="G146" s="268">
        <f>Machinery!V18</f>
        <v>12.928999999999998</v>
      </c>
      <c r="H146" s="198">
        <f>G146*F146</f>
        <v>103.43199999999999</v>
      </c>
      <c r="I146" s="198"/>
      <c r="J146" s="200"/>
      <c r="K146" s="201"/>
      <c r="L146" s="198"/>
      <c r="M146" s="365">
        <v>4</v>
      </c>
      <c r="N146" s="337">
        <f>Assumptions!G28</f>
        <v>14</v>
      </c>
      <c r="O146" s="198">
        <f>+N146*M146</f>
        <v>56</v>
      </c>
      <c r="P146" s="198">
        <f aca="true" t="shared" si="9" ref="P146:P161">O146+L146+H146</f>
        <v>159.432</v>
      </c>
      <c r="Q146" s="178"/>
      <c r="R146" s="60"/>
    </row>
    <row r="147" spans="1:18" s="7" customFormat="1" ht="12" outlineLevel="2">
      <c r="A147" s="13" t="s">
        <v>144</v>
      </c>
      <c r="B147" s="13" t="s">
        <v>373</v>
      </c>
      <c r="C147" s="363"/>
      <c r="D147" s="363"/>
      <c r="E147" s="6" t="s">
        <v>189</v>
      </c>
      <c r="F147" s="365">
        <v>0.65</v>
      </c>
      <c r="G147" s="202">
        <f>Machinery!U5+Machinery!U9</f>
        <v>20.65756</v>
      </c>
      <c r="H147" s="198">
        <f>G147*F147</f>
        <v>13.427414</v>
      </c>
      <c r="I147" s="367">
        <v>8.4</v>
      </c>
      <c r="J147" s="370" t="s">
        <v>26</v>
      </c>
      <c r="K147" s="369">
        <v>3</v>
      </c>
      <c r="L147" s="198">
        <f>+K147*I147</f>
        <v>25.200000000000003</v>
      </c>
      <c r="M147" s="202">
        <f>+F147*1.2</f>
        <v>0.78</v>
      </c>
      <c r="N147" s="337">
        <f>Assumptions!G29</f>
        <v>10.6</v>
      </c>
      <c r="O147" s="198">
        <f>+N147*M147</f>
        <v>8.268</v>
      </c>
      <c r="P147" s="198">
        <f t="shared" si="9"/>
        <v>46.895414</v>
      </c>
      <c r="Q147" s="178"/>
      <c r="R147" s="60"/>
    </row>
    <row r="148" spans="1:18" s="7" customFormat="1" ht="12" outlineLevel="2">
      <c r="A148" s="13" t="s">
        <v>144</v>
      </c>
      <c r="B148" s="13" t="s">
        <v>174</v>
      </c>
      <c r="C148" s="13"/>
      <c r="D148" s="13"/>
      <c r="E148" s="201" t="s">
        <v>264</v>
      </c>
      <c r="F148" s="365">
        <v>2</v>
      </c>
      <c r="G148" s="202">
        <f>Machinery!U17+Machinery!V19</f>
        <v>7.6348</v>
      </c>
      <c r="H148" s="198">
        <f>G148*F148</f>
        <v>15.2696</v>
      </c>
      <c r="I148" s="203"/>
      <c r="J148" s="200" t="s">
        <v>2</v>
      </c>
      <c r="K148" s="201"/>
      <c r="L148" s="203"/>
      <c r="M148" s="365">
        <v>1</v>
      </c>
      <c r="N148" s="337">
        <f>Assumptions!G28</f>
        <v>14</v>
      </c>
      <c r="O148" s="198">
        <f>+N148*M148</f>
        <v>14</v>
      </c>
      <c r="P148" s="198">
        <f t="shared" si="9"/>
        <v>29.2696</v>
      </c>
      <c r="Q148" s="178"/>
      <c r="R148" s="60"/>
    </row>
    <row r="149" spans="1:18" s="7" customFormat="1" ht="12" outlineLevel="2">
      <c r="A149" s="13"/>
      <c r="B149" s="13"/>
      <c r="C149" s="363" t="s">
        <v>214</v>
      </c>
      <c r="D149" s="363"/>
      <c r="E149" s="201" t="s">
        <v>2</v>
      </c>
      <c r="F149" s="202"/>
      <c r="G149" s="202"/>
      <c r="H149" s="198"/>
      <c r="I149" s="367">
        <v>0.42</v>
      </c>
      <c r="J149" s="370" t="s">
        <v>26</v>
      </c>
      <c r="K149" s="369">
        <v>33.87</v>
      </c>
      <c r="L149" s="203">
        <f>+K149*I149</f>
        <v>14.225399999999999</v>
      </c>
      <c r="M149" s="202"/>
      <c r="N149" s="198"/>
      <c r="O149" s="198"/>
      <c r="P149" s="198">
        <f t="shared" si="9"/>
        <v>14.225399999999999</v>
      </c>
      <c r="Q149" s="178"/>
      <c r="R149" s="60"/>
    </row>
    <row r="150" spans="1:18" s="7" customFormat="1" ht="12" outlineLevel="2">
      <c r="A150" s="13"/>
      <c r="B150" s="13"/>
      <c r="C150" s="363" t="s">
        <v>175</v>
      </c>
      <c r="D150" s="363"/>
      <c r="E150" s="201"/>
      <c r="F150" s="202"/>
      <c r="G150" s="202"/>
      <c r="H150" s="198"/>
      <c r="I150" s="367">
        <v>0.32</v>
      </c>
      <c r="J150" s="370" t="s">
        <v>26</v>
      </c>
      <c r="K150" s="369">
        <v>10</v>
      </c>
      <c r="L150" s="203">
        <f>+K150*I150</f>
        <v>3.2</v>
      </c>
      <c r="M150" s="202"/>
      <c r="N150" s="198"/>
      <c r="O150" s="198"/>
      <c r="P150" s="198">
        <f t="shared" si="9"/>
        <v>3.2</v>
      </c>
      <c r="Q150" s="178"/>
      <c r="R150" s="60"/>
    </row>
    <row r="151" spans="1:18" s="7" customFormat="1" ht="12" outlineLevel="2">
      <c r="A151" s="13" t="s">
        <v>140</v>
      </c>
      <c r="B151" s="13" t="s">
        <v>153</v>
      </c>
      <c r="C151" s="13"/>
      <c r="D151" s="13"/>
      <c r="E151" s="201" t="s">
        <v>139</v>
      </c>
      <c r="F151" s="202"/>
      <c r="G151" s="202"/>
      <c r="H151" s="198"/>
      <c r="I151" s="367">
        <v>7</v>
      </c>
      <c r="J151" s="370" t="s">
        <v>154</v>
      </c>
      <c r="K151" s="369">
        <v>1</v>
      </c>
      <c r="L151" s="198">
        <f>+K151*I151</f>
        <v>7</v>
      </c>
      <c r="M151" s="365">
        <v>0.5</v>
      </c>
      <c r="N151" s="337">
        <f>Assumptions!G29</f>
        <v>10.6</v>
      </c>
      <c r="O151" s="198">
        <f>+N151*M151</f>
        <v>5.3</v>
      </c>
      <c r="P151" s="198">
        <f t="shared" si="9"/>
        <v>12.3</v>
      </c>
      <c r="Q151" s="178"/>
      <c r="R151" s="60"/>
    </row>
    <row r="152" spans="1:18" s="7" customFormat="1" ht="12" outlineLevel="2">
      <c r="A152" s="13" t="s">
        <v>140</v>
      </c>
      <c r="B152" s="13" t="s">
        <v>231</v>
      </c>
      <c r="C152" s="13"/>
      <c r="D152" s="13"/>
      <c r="E152" s="201" t="s">
        <v>265</v>
      </c>
      <c r="F152" s="365">
        <v>6</v>
      </c>
      <c r="G152" s="268">
        <f>Machinery!V18</f>
        <v>12.928999999999998</v>
      </c>
      <c r="H152" s="198">
        <f>G152*F152</f>
        <v>77.57399999999998</v>
      </c>
      <c r="I152" s="198"/>
      <c r="J152" s="200"/>
      <c r="K152" s="201"/>
      <c r="L152" s="198"/>
      <c r="M152" s="365">
        <v>3</v>
      </c>
      <c r="N152" s="337">
        <f>Assumptions!G28</f>
        <v>14</v>
      </c>
      <c r="O152" s="198">
        <f>+N152*M152</f>
        <v>42</v>
      </c>
      <c r="P152" s="198">
        <f t="shared" si="9"/>
        <v>119.57399999999998</v>
      </c>
      <c r="Q152" s="178"/>
      <c r="R152" s="60"/>
    </row>
    <row r="153" spans="1:18" s="7" customFormat="1" ht="12" outlineLevel="2">
      <c r="A153" s="13" t="s">
        <v>140</v>
      </c>
      <c r="B153" s="13" t="s">
        <v>387</v>
      </c>
      <c r="C153" s="13"/>
      <c r="D153" s="13"/>
      <c r="E153" s="6" t="s">
        <v>189</v>
      </c>
      <c r="F153" s="365">
        <v>0.65</v>
      </c>
      <c r="G153" s="202">
        <f>Machinery!U5+Machinery!U9</f>
        <v>20.65756</v>
      </c>
      <c r="H153" s="198">
        <f>G153*F153</f>
        <v>13.427414</v>
      </c>
      <c r="I153" s="198"/>
      <c r="J153" s="200"/>
      <c r="K153" s="201"/>
      <c r="L153" s="198"/>
      <c r="M153" s="202">
        <f>+F153*1.2</f>
        <v>0.78</v>
      </c>
      <c r="N153" s="337">
        <f>Assumptions!G29</f>
        <v>10.6</v>
      </c>
      <c r="O153" s="198">
        <f>+N153*M153</f>
        <v>8.268</v>
      </c>
      <c r="P153" s="198">
        <f t="shared" si="9"/>
        <v>21.695414</v>
      </c>
      <c r="Q153" s="178"/>
      <c r="R153" s="60"/>
    </row>
    <row r="154" spans="1:18" s="7" customFormat="1" ht="12" outlineLevel="2">
      <c r="A154" s="13"/>
      <c r="B154" s="13"/>
      <c r="C154" s="363" t="s">
        <v>359</v>
      </c>
      <c r="D154" s="363"/>
      <c r="E154" s="6"/>
      <c r="F154" s="268"/>
      <c r="G154" s="202"/>
      <c r="H154" s="198"/>
      <c r="I154" s="367">
        <v>2.6</v>
      </c>
      <c r="J154" s="370" t="s">
        <v>35</v>
      </c>
      <c r="K154" s="369">
        <v>31</v>
      </c>
      <c r="L154" s="203">
        <f>+K154*I154</f>
        <v>80.60000000000001</v>
      </c>
      <c r="M154" s="202"/>
      <c r="N154" s="198"/>
      <c r="O154" s="198"/>
      <c r="P154" s="198">
        <f>O154+L154+H154</f>
        <v>80.60000000000001</v>
      </c>
      <c r="Q154" s="178"/>
      <c r="R154" s="60"/>
    </row>
    <row r="155" spans="1:18" s="7" customFormat="1" ht="12" outlineLevel="2">
      <c r="A155" s="13"/>
      <c r="B155" s="13"/>
      <c r="C155" s="363" t="s">
        <v>386</v>
      </c>
      <c r="D155" s="363"/>
      <c r="E155" s="6"/>
      <c r="F155" s="202"/>
      <c r="G155" s="202"/>
      <c r="H155" s="198"/>
      <c r="I155" s="367">
        <v>14</v>
      </c>
      <c r="J155" s="370" t="s">
        <v>26</v>
      </c>
      <c r="K155" s="369">
        <v>2</v>
      </c>
      <c r="L155" s="198">
        <f>+K155*I155</f>
        <v>28</v>
      </c>
      <c r="M155" s="202"/>
      <c r="N155" s="198"/>
      <c r="O155" s="198"/>
      <c r="P155" s="198">
        <f>O155+L155+H155</f>
        <v>28</v>
      </c>
      <c r="Q155" s="178"/>
      <c r="R155" s="60"/>
    </row>
    <row r="156" spans="1:18" s="7" customFormat="1" ht="12" outlineLevel="2">
      <c r="A156" s="13" t="s">
        <v>2</v>
      </c>
      <c r="B156" s="13" t="s">
        <v>2</v>
      </c>
      <c r="C156" s="363" t="s">
        <v>372</v>
      </c>
      <c r="D156" s="363"/>
      <c r="E156" s="6"/>
      <c r="F156" s="268"/>
      <c r="G156" s="202"/>
      <c r="H156" s="198"/>
      <c r="I156" s="367">
        <v>3</v>
      </c>
      <c r="J156" s="370" t="s">
        <v>35</v>
      </c>
      <c r="K156" s="369">
        <v>14</v>
      </c>
      <c r="L156" s="198">
        <f>+K156*I156</f>
        <v>42</v>
      </c>
      <c r="M156" s="202"/>
      <c r="N156" s="198"/>
      <c r="O156" s="198"/>
      <c r="P156" s="198">
        <f>O156+L156+H156</f>
        <v>42</v>
      </c>
      <c r="Q156" s="178"/>
      <c r="R156" s="60"/>
    </row>
    <row r="157" spans="1:18" s="7" customFormat="1" ht="12" outlineLevel="2">
      <c r="A157" s="13" t="s">
        <v>140</v>
      </c>
      <c r="B157" s="13" t="s">
        <v>174</v>
      </c>
      <c r="C157" s="13"/>
      <c r="D157" s="13"/>
      <c r="E157" s="201" t="s">
        <v>264</v>
      </c>
      <c r="F157" s="365">
        <v>2</v>
      </c>
      <c r="G157" s="202">
        <f>Machinery!U17+Machinery!V19</f>
        <v>7.6348</v>
      </c>
      <c r="H157" s="198">
        <f>G157*F157</f>
        <v>15.2696</v>
      </c>
      <c r="I157" s="203"/>
      <c r="J157" s="200" t="s">
        <v>2</v>
      </c>
      <c r="K157" s="201"/>
      <c r="L157" s="203"/>
      <c r="M157" s="365">
        <v>1</v>
      </c>
      <c r="N157" s="337">
        <f>Assumptions!G28</f>
        <v>14</v>
      </c>
      <c r="O157" s="198">
        <f>+N157*M157</f>
        <v>14</v>
      </c>
      <c r="P157" s="198">
        <f t="shared" si="9"/>
        <v>29.2696</v>
      </c>
      <c r="Q157" s="178"/>
      <c r="R157" s="60"/>
    </row>
    <row r="158" spans="1:18" s="7" customFormat="1" ht="12" outlineLevel="2">
      <c r="A158" s="13"/>
      <c r="B158" s="13"/>
      <c r="C158" s="363" t="s">
        <v>214</v>
      </c>
      <c r="D158" s="363"/>
      <c r="E158" s="201" t="s">
        <v>2</v>
      </c>
      <c r="F158" s="202"/>
      <c r="G158" s="202"/>
      <c r="H158" s="198"/>
      <c r="I158" s="367">
        <v>0.42</v>
      </c>
      <c r="J158" s="370" t="s">
        <v>26</v>
      </c>
      <c r="K158" s="369">
        <v>33.87</v>
      </c>
      <c r="L158" s="203">
        <f>+K158*I158</f>
        <v>14.225399999999999</v>
      </c>
      <c r="M158" s="202"/>
      <c r="N158" s="198"/>
      <c r="O158" s="198"/>
      <c r="P158" s="198">
        <f t="shared" si="9"/>
        <v>14.225399999999999</v>
      </c>
      <c r="Q158" s="178"/>
      <c r="R158" s="60"/>
    </row>
    <row r="159" spans="1:18" s="7" customFormat="1" ht="12" outlineLevel="2">
      <c r="A159" s="13"/>
      <c r="B159" s="13"/>
      <c r="C159" s="363" t="s">
        <v>175</v>
      </c>
      <c r="D159" s="363"/>
      <c r="E159" s="201"/>
      <c r="F159" s="202"/>
      <c r="G159" s="202"/>
      <c r="H159" s="198"/>
      <c r="I159" s="367">
        <v>0.32</v>
      </c>
      <c r="J159" s="370" t="s">
        <v>26</v>
      </c>
      <c r="K159" s="369">
        <v>10</v>
      </c>
      <c r="L159" s="203">
        <f>+K159*I159</f>
        <v>3.2</v>
      </c>
      <c r="M159" s="202"/>
      <c r="N159" s="198"/>
      <c r="O159" s="198"/>
      <c r="P159" s="198">
        <f t="shared" si="9"/>
        <v>3.2</v>
      </c>
      <c r="Q159" s="178"/>
      <c r="R159" s="60"/>
    </row>
    <row r="160" spans="1:18" s="7" customFormat="1" ht="12" outlineLevel="2">
      <c r="A160" s="13" t="s">
        <v>146</v>
      </c>
      <c r="B160" s="13" t="s">
        <v>174</v>
      </c>
      <c r="C160" s="13"/>
      <c r="D160" s="13"/>
      <c r="E160" s="201" t="s">
        <v>264</v>
      </c>
      <c r="F160" s="365">
        <v>2</v>
      </c>
      <c r="G160" s="202">
        <f>Machinery!U17+Machinery!V19</f>
        <v>7.6348</v>
      </c>
      <c r="H160" s="198">
        <f>G160*F160</f>
        <v>15.2696</v>
      </c>
      <c r="I160" s="203"/>
      <c r="J160" s="200" t="s">
        <v>2</v>
      </c>
      <c r="K160" s="201"/>
      <c r="L160" s="203"/>
      <c r="M160" s="365">
        <v>1</v>
      </c>
      <c r="N160" s="337">
        <f>Assumptions!G28</f>
        <v>14</v>
      </c>
      <c r="O160" s="198">
        <f>+N160*M160</f>
        <v>14</v>
      </c>
      <c r="P160" s="198">
        <f t="shared" si="9"/>
        <v>29.2696</v>
      </c>
      <c r="Q160" s="178"/>
      <c r="R160" s="60"/>
    </row>
    <row r="161" spans="1:18" ht="12" outlineLevel="2">
      <c r="A161" s="13"/>
      <c r="B161" s="13"/>
      <c r="C161" s="363" t="s">
        <v>218</v>
      </c>
      <c r="D161" s="363"/>
      <c r="E161" s="201" t="s">
        <v>2</v>
      </c>
      <c r="F161" s="202"/>
      <c r="G161" s="202"/>
      <c r="H161" s="198"/>
      <c r="I161" s="367">
        <v>0.88</v>
      </c>
      <c r="J161" s="370" t="s">
        <v>26</v>
      </c>
      <c r="K161" s="369">
        <v>53.85</v>
      </c>
      <c r="L161" s="203">
        <f>+K161*I161</f>
        <v>47.388</v>
      </c>
      <c r="M161" s="202"/>
      <c r="N161" s="198"/>
      <c r="O161" s="198"/>
      <c r="P161" s="198">
        <f t="shared" si="9"/>
        <v>47.388</v>
      </c>
      <c r="Q161" s="178"/>
      <c r="R161" s="60"/>
    </row>
    <row r="162" spans="1:144" s="218" customFormat="1" ht="12" outlineLevel="1">
      <c r="A162" s="246" t="s">
        <v>217</v>
      </c>
      <c r="B162" s="224"/>
      <c r="C162" s="372"/>
      <c r="D162" s="372"/>
      <c r="E162" s="225"/>
      <c r="F162" s="226"/>
      <c r="G162" s="226"/>
      <c r="H162" s="238">
        <f>SUM(H92:H161)-H108-H144</f>
        <v>655.7346980000003</v>
      </c>
      <c r="I162" s="238"/>
      <c r="J162" s="249"/>
      <c r="K162" s="250"/>
      <c r="L162" s="238">
        <f>SUM(L92:L161)-L108-L144</f>
        <v>1159.7932000000003</v>
      </c>
      <c r="M162" s="274">
        <f>SUM(M92:M161)-M108-M144</f>
        <v>97.46000000000001</v>
      </c>
      <c r="N162" s="238"/>
      <c r="O162" s="238">
        <f>SUM(O92:O161)-O108-O144</f>
        <v>1133.376</v>
      </c>
      <c r="P162" s="238">
        <f>SUM(P92:P161)-P108-P144</f>
        <v>2948.9038979999978</v>
      </c>
      <c r="Q162" s="238">
        <f>Q89+P162</f>
        <v>11804.045231666663</v>
      </c>
      <c r="R162" s="60"/>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69"/>
      <c r="BH162" s="169"/>
      <c r="BI162" s="169"/>
      <c r="BJ162" s="169"/>
      <c r="BK162" s="169"/>
      <c r="BL162" s="169"/>
      <c r="BM162" s="169"/>
      <c r="BN162" s="169"/>
      <c r="BO162" s="169"/>
      <c r="BP162" s="169"/>
      <c r="BQ162" s="169"/>
      <c r="BR162" s="169"/>
      <c r="BS162" s="169"/>
      <c r="BT162" s="169"/>
      <c r="BU162" s="169"/>
      <c r="BV162" s="169"/>
      <c r="BW162" s="169"/>
      <c r="BX162" s="169"/>
      <c r="BY162" s="169"/>
      <c r="BZ162" s="169"/>
      <c r="CA162" s="169"/>
      <c r="CB162" s="169"/>
      <c r="CC162" s="169"/>
      <c r="CD162" s="169"/>
      <c r="CE162" s="169"/>
      <c r="CF162" s="169"/>
      <c r="CG162" s="169"/>
      <c r="CH162" s="169"/>
      <c r="CI162" s="169"/>
      <c r="CJ162" s="169"/>
      <c r="CK162" s="169"/>
      <c r="CL162" s="169"/>
      <c r="CM162" s="169"/>
      <c r="CN162" s="169"/>
      <c r="CO162" s="169"/>
      <c r="CP162" s="169"/>
      <c r="CQ162" s="169"/>
      <c r="CR162" s="169"/>
      <c r="CS162" s="169"/>
      <c r="CT162" s="169"/>
      <c r="CU162" s="169"/>
      <c r="CV162" s="169"/>
      <c r="CW162" s="169"/>
      <c r="CX162" s="169"/>
      <c r="CY162" s="169"/>
      <c r="CZ162" s="169"/>
      <c r="DA162" s="169"/>
      <c r="DB162" s="169"/>
      <c r="DC162" s="169"/>
      <c r="DD162" s="169"/>
      <c r="DE162" s="169"/>
      <c r="DF162" s="169"/>
      <c r="DG162" s="169"/>
      <c r="DH162" s="169"/>
      <c r="DI162" s="169"/>
      <c r="DJ162" s="169"/>
      <c r="DK162" s="169"/>
      <c r="DL162" s="169"/>
      <c r="DM162" s="169"/>
      <c r="DN162" s="169"/>
      <c r="DO162" s="169"/>
      <c r="DP162" s="169"/>
      <c r="DQ162" s="169"/>
      <c r="DR162" s="169"/>
      <c r="DS162" s="169"/>
      <c r="DT162" s="169"/>
      <c r="DU162" s="169"/>
      <c r="DV162" s="169"/>
      <c r="DW162" s="169"/>
      <c r="DX162" s="169"/>
      <c r="DY162" s="169"/>
      <c r="DZ162" s="169"/>
      <c r="EA162" s="169"/>
      <c r="EB162" s="169"/>
      <c r="EC162" s="169"/>
      <c r="ED162" s="169"/>
      <c r="EE162" s="169"/>
      <c r="EF162" s="169"/>
      <c r="EG162" s="169"/>
      <c r="EH162" s="169"/>
      <c r="EI162" s="169"/>
      <c r="EJ162" s="169"/>
      <c r="EK162" s="169"/>
      <c r="EL162" s="169"/>
      <c r="EM162" s="169"/>
      <c r="EN162" s="169"/>
    </row>
    <row r="163" spans="1:18" ht="12" outlineLevel="1">
      <c r="A163" s="13"/>
      <c r="B163" s="13"/>
      <c r="C163" s="13"/>
      <c r="D163" s="13"/>
      <c r="E163" s="201"/>
      <c r="F163" s="202"/>
      <c r="G163" s="202"/>
      <c r="H163" s="198"/>
      <c r="I163" s="203"/>
      <c r="J163" s="200"/>
      <c r="K163" s="201"/>
      <c r="L163" s="203"/>
      <c r="M163" s="202"/>
      <c r="N163" s="198"/>
      <c r="O163" s="198"/>
      <c r="P163" s="198"/>
      <c r="Q163" s="178"/>
      <c r="R163" s="60"/>
    </row>
    <row r="164" spans="1:18" ht="12" outlineLevel="1">
      <c r="A164" s="207" t="s">
        <v>180</v>
      </c>
      <c r="B164" s="13"/>
      <c r="C164" s="13"/>
      <c r="D164" s="13"/>
      <c r="E164" s="201"/>
      <c r="F164" s="202"/>
      <c r="G164" s="202"/>
      <c r="H164" s="198"/>
      <c r="I164" s="203"/>
      <c r="J164" s="200"/>
      <c r="K164" s="201"/>
      <c r="L164" s="203"/>
      <c r="M164" s="202"/>
      <c r="N164" s="198"/>
      <c r="O164" s="198"/>
      <c r="P164" s="198"/>
      <c r="Q164" s="178"/>
      <c r="R164" s="60"/>
    </row>
    <row r="165" spans="1:18" ht="12" outlineLevel="2">
      <c r="A165" s="13" t="s">
        <v>146</v>
      </c>
      <c r="B165" s="13" t="s">
        <v>220</v>
      </c>
      <c r="C165" s="13"/>
      <c r="D165" s="13"/>
      <c r="E165" s="201"/>
      <c r="F165" s="202"/>
      <c r="G165" s="202"/>
      <c r="H165" s="198"/>
      <c r="I165" s="210"/>
      <c r="J165" s="200"/>
      <c r="K165" s="201"/>
      <c r="L165" s="198"/>
      <c r="M165" s="365">
        <f>30/5</f>
        <v>6</v>
      </c>
      <c r="N165" s="337">
        <f>Assumptions!G29</f>
        <v>10.6</v>
      </c>
      <c r="O165" s="198">
        <f aca="true" t="shared" si="10" ref="O165:O172">+N165*M165</f>
        <v>63.599999999999994</v>
      </c>
      <c r="P165" s="198">
        <f aca="true" t="shared" si="11" ref="P165:P177">O165+L165+H165</f>
        <v>63.599999999999994</v>
      </c>
      <c r="Q165" s="178"/>
      <c r="R165" s="60"/>
    </row>
    <row r="166" spans="1:18" ht="12" outlineLevel="2">
      <c r="A166" s="13" t="s">
        <v>146</v>
      </c>
      <c r="B166" s="13" t="s">
        <v>221</v>
      </c>
      <c r="C166" s="13"/>
      <c r="D166" s="13"/>
      <c r="E166" s="201"/>
      <c r="F166" s="202"/>
      <c r="G166" s="202"/>
      <c r="H166" s="198"/>
      <c r="I166" s="203">
        <f>Assumptions!G32</f>
        <v>0.75</v>
      </c>
      <c r="J166" s="215" t="s">
        <v>257</v>
      </c>
      <c r="K166" s="267">
        <f>Assumptions!H11/6</f>
        <v>255</v>
      </c>
      <c r="L166" s="198">
        <f>+K166*I166</f>
        <v>191.25</v>
      </c>
      <c r="M166" s="365">
        <f>30/5</f>
        <v>6</v>
      </c>
      <c r="N166" s="337">
        <f>Assumptions!G29</f>
        <v>10.6</v>
      </c>
      <c r="O166" s="198">
        <f t="shared" si="10"/>
        <v>63.599999999999994</v>
      </c>
      <c r="P166" s="198">
        <f t="shared" si="11"/>
        <v>254.85</v>
      </c>
      <c r="Q166" s="178"/>
      <c r="R166" s="60"/>
    </row>
    <row r="167" spans="1:18" ht="12" outlineLevel="2">
      <c r="A167" s="13" t="s">
        <v>146</v>
      </c>
      <c r="B167" s="13" t="s">
        <v>181</v>
      </c>
      <c r="C167" s="13"/>
      <c r="D167" s="13"/>
      <c r="E167" s="201"/>
      <c r="F167" s="202"/>
      <c r="G167" s="202"/>
      <c r="H167" s="198"/>
      <c r="I167" s="210" t="s">
        <v>2</v>
      </c>
      <c r="J167" s="200" t="s">
        <v>2</v>
      </c>
      <c r="K167" s="201" t="s">
        <v>2</v>
      </c>
      <c r="L167" s="198"/>
      <c r="M167" s="268">
        <f>K166*Assumptions!G22</f>
        <v>153</v>
      </c>
      <c r="N167" s="339">
        <f>Assumptions!G30</f>
        <v>1.15</v>
      </c>
      <c r="O167" s="198">
        <f t="shared" si="10"/>
        <v>175.95</v>
      </c>
      <c r="P167" s="198">
        <f t="shared" si="11"/>
        <v>175.95</v>
      </c>
      <c r="Q167" s="178"/>
      <c r="R167" s="60"/>
    </row>
    <row r="168" spans="1:18" ht="12" outlineLevel="2">
      <c r="A168" s="13" t="s">
        <v>149</v>
      </c>
      <c r="B168" s="13" t="s">
        <v>220</v>
      </c>
      <c r="C168" s="13"/>
      <c r="D168" s="13"/>
      <c r="E168" s="201"/>
      <c r="F168" s="202"/>
      <c r="G168" s="202"/>
      <c r="H168" s="198"/>
      <c r="I168" s="210"/>
      <c r="J168" s="200"/>
      <c r="K168" s="201"/>
      <c r="L168" s="198"/>
      <c r="M168" s="365">
        <f>40/5</f>
        <v>8</v>
      </c>
      <c r="N168" s="337">
        <f>Assumptions!G29</f>
        <v>10.6</v>
      </c>
      <c r="O168" s="198">
        <f>+N168*M168</f>
        <v>84.8</v>
      </c>
      <c r="P168" s="198">
        <f t="shared" si="11"/>
        <v>84.8</v>
      </c>
      <c r="Q168" s="178"/>
      <c r="R168" s="60"/>
    </row>
    <row r="169" spans="1:18" ht="12" outlineLevel="2">
      <c r="A169" s="13" t="s">
        <v>149</v>
      </c>
      <c r="B169" s="13" t="s">
        <v>221</v>
      </c>
      <c r="C169" s="13"/>
      <c r="D169" s="13"/>
      <c r="E169" s="201"/>
      <c r="F169" s="202"/>
      <c r="G169" s="202"/>
      <c r="H169" s="198"/>
      <c r="I169" s="203">
        <f>Assumptions!G32</f>
        <v>0.75</v>
      </c>
      <c r="J169" s="215" t="s">
        <v>257</v>
      </c>
      <c r="K169" s="267">
        <f>Assumptions!H12/6</f>
        <v>382.5</v>
      </c>
      <c r="L169" s="198">
        <f>+K169*I169</f>
        <v>286.875</v>
      </c>
      <c r="M169" s="365">
        <f>40/5</f>
        <v>8</v>
      </c>
      <c r="N169" s="337">
        <f>Assumptions!G29</f>
        <v>10.6</v>
      </c>
      <c r="O169" s="198">
        <f>+N169*M169</f>
        <v>84.8</v>
      </c>
      <c r="P169" s="198">
        <f t="shared" si="11"/>
        <v>371.675</v>
      </c>
      <c r="Q169" s="178"/>
      <c r="R169" s="60"/>
    </row>
    <row r="170" spans="1:18" ht="12" outlineLevel="2">
      <c r="A170" s="13" t="s">
        <v>149</v>
      </c>
      <c r="B170" s="13" t="s">
        <v>181</v>
      </c>
      <c r="C170" s="13"/>
      <c r="D170" s="13"/>
      <c r="E170" s="201"/>
      <c r="F170" s="202"/>
      <c r="G170" s="202"/>
      <c r="H170" s="198"/>
      <c r="I170" s="210" t="s">
        <v>2</v>
      </c>
      <c r="J170" s="200" t="s">
        <v>2</v>
      </c>
      <c r="K170" s="201" t="s">
        <v>2</v>
      </c>
      <c r="L170" s="198"/>
      <c r="M170" s="268">
        <f>K169*Assumptions!G22</f>
        <v>229.5</v>
      </c>
      <c r="N170" s="339">
        <f>Assumptions!G30</f>
        <v>1.15</v>
      </c>
      <c r="O170" s="198">
        <f>+N170*M170</f>
        <v>263.92499999999995</v>
      </c>
      <c r="P170" s="198">
        <f t="shared" si="11"/>
        <v>263.92499999999995</v>
      </c>
      <c r="Q170" s="178"/>
      <c r="R170" s="60"/>
    </row>
    <row r="171" spans="1:18" ht="12" outlineLevel="2">
      <c r="A171" s="13" t="s">
        <v>149</v>
      </c>
      <c r="B171" s="13" t="s">
        <v>182</v>
      </c>
      <c r="C171" s="13"/>
      <c r="D171" s="13"/>
      <c r="E171" s="201" t="s">
        <v>208</v>
      </c>
      <c r="F171" s="365">
        <v>2</v>
      </c>
      <c r="G171" s="202">
        <f>Machinery!V19</f>
        <v>7.206266666666667</v>
      </c>
      <c r="H171" s="198">
        <f>G171*F171</f>
        <v>14.412533333333334</v>
      </c>
      <c r="I171" s="203"/>
      <c r="J171" s="200" t="s">
        <v>2</v>
      </c>
      <c r="K171" s="201"/>
      <c r="L171" s="203"/>
      <c r="M171" s="365">
        <v>0.2</v>
      </c>
      <c r="N171" s="337">
        <f>Assumptions!G28</f>
        <v>14</v>
      </c>
      <c r="O171" s="198">
        <f t="shared" si="10"/>
        <v>2.8000000000000003</v>
      </c>
      <c r="P171" s="198">
        <f t="shared" si="11"/>
        <v>17.212533333333333</v>
      </c>
      <c r="Q171" s="178"/>
      <c r="R171" s="60"/>
    </row>
    <row r="172" spans="1:18" ht="12" outlineLevel="2">
      <c r="A172" s="13" t="s">
        <v>149</v>
      </c>
      <c r="B172" s="13" t="s">
        <v>360</v>
      </c>
      <c r="C172" s="13"/>
      <c r="D172" s="13"/>
      <c r="E172" s="6" t="s">
        <v>189</v>
      </c>
      <c r="F172" s="365">
        <v>0.65</v>
      </c>
      <c r="G172" s="202">
        <f>Machinery!U5+Machinery!U9</f>
        <v>20.65756</v>
      </c>
      <c r="H172" s="198">
        <f>G172*F172</f>
        <v>13.427414</v>
      </c>
      <c r="I172" s="203"/>
      <c r="J172" s="200" t="s">
        <v>2</v>
      </c>
      <c r="K172" s="201"/>
      <c r="L172" s="203"/>
      <c r="M172" s="202">
        <f>+F172*1.2</f>
        <v>0.78</v>
      </c>
      <c r="N172" s="337">
        <f>Assumptions!G29</f>
        <v>10.6</v>
      </c>
      <c r="O172" s="198">
        <f t="shared" si="10"/>
        <v>8.268</v>
      </c>
      <c r="P172" s="198">
        <f t="shared" si="11"/>
        <v>21.695414</v>
      </c>
      <c r="Q172" s="178"/>
      <c r="R172" s="60"/>
    </row>
    <row r="173" spans="1:18" ht="12" outlineLevel="2">
      <c r="A173" s="13"/>
      <c r="B173" s="13"/>
      <c r="C173" s="363" t="s">
        <v>359</v>
      </c>
      <c r="D173" s="363"/>
      <c r="E173" s="6"/>
      <c r="F173" s="268"/>
      <c r="G173" s="202"/>
      <c r="H173" s="198"/>
      <c r="I173" s="367">
        <v>2.6</v>
      </c>
      <c r="J173" s="370" t="s">
        <v>35</v>
      </c>
      <c r="K173" s="369">
        <v>31</v>
      </c>
      <c r="L173" s="198">
        <f>+K173*I173</f>
        <v>80.60000000000001</v>
      </c>
      <c r="M173" s="202" t="s">
        <v>2</v>
      </c>
      <c r="N173" s="198" t="s">
        <v>2</v>
      </c>
      <c r="O173" s="198"/>
      <c r="P173" s="198">
        <f t="shared" si="11"/>
        <v>80.60000000000001</v>
      </c>
      <c r="Q173" s="178"/>
      <c r="R173" s="60"/>
    </row>
    <row r="174" spans="1:18" ht="12" outlineLevel="2">
      <c r="A174" s="13" t="s">
        <v>2</v>
      </c>
      <c r="B174" s="13" t="s">
        <v>2</v>
      </c>
      <c r="C174" s="363" t="s">
        <v>361</v>
      </c>
      <c r="D174" s="363"/>
      <c r="E174" s="6" t="s">
        <v>2</v>
      </c>
      <c r="F174" s="268" t="s">
        <v>2</v>
      </c>
      <c r="G174" s="202" t="s">
        <v>2</v>
      </c>
      <c r="H174" s="198"/>
      <c r="I174" s="367">
        <v>8.4</v>
      </c>
      <c r="J174" s="370" t="s">
        <v>26</v>
      </c>
      <c r="K174" s="369">
        <v>3</v>
      </c>
      <c r="L174" s="198">
        <f>+K174*I174</f>
        <v>25.200000000000003</v>
      </c>
      <c r="M174" s="202" t="s">
        <v>2</v>
      </c>
      <c r="N174" s="198" t="s">
        <v>2</v>
      </c>
      <c r="O174" s="198"/>
      <c r="P174" s="198">
        <f t="shared" si="11"/>
        <v>25.200000000000003</v>
      </c>
      <c r="Q174" s="178"/>
      <c r="R174" s="60"/>
    </row>
    <row r="175" spans="1:18" ht="12" outlineLevel="2">
      <c r="A175" s="13" t="s">
        <v>149</v>
      </c>
      <c r="B175" s="13" t="s">
        <v>174</v>
      </c>
      <c r="C175" s="13"/>
      <c r="D175" s="13"/>
      <c r="E175" s="201" t="s">
        <v>264</v>
      </c>
      <c r="F175" s="365">
        <v>2</v>
      </c>
      <c r="G175" s="202">
        <f>Machinery!U17+Machinery!V19</f>
        <v>7.6348</v>
      </c>
      <c r="H175" s="198">
        <f>G175*F175</f>
        <v>15.2696</v>
      </c>
      <c r="I175" s="203"/>
      <c r="J175" s="200" t="s">
        <v>2</v>
      </c>
      <c r="K175" s="201"/>
      <c r="L175" s="203"/>
      <c r="M175" s="365">
        <v>1</v>
      </c>
      <c r="N175" s="337">
        <f>Assumptions!G28</f>
        <v>14</v>
      </c>
      <c r="O175" s="198">
        <f>+N175*M175</f>
        <v>14</v>
      </c>
      <c r="P175" s="198">
        <f t="shared" si="11"/>
        <v>29.2696</v>
      </c>
      <c r="Q175" s="178"/>
      <c r="R175" s="60"/>
    </row>
    <row r="176" spans="1:18" ht="12" outlineLevel="2">
      <c r="A176" s="13"/>
      <c r="B176" s="13"/>
      <c r="C176" s="363" t="s">
        <v>214</v>
      </c>
      <c r="D176" s="363"/>
      <c r="E176" s="201" t="s">
        <v>2</v>
      </c>
      <c r="F176" s="202"/>
      <c r="G176" s="202"/>
      <c r="H176" s="198"/>
      <c r="I176" s="367">
        <v>0.42</v>
      </c>
      <c r="J176" s="370" t="s">
        <v>26</v>
      </c>
      <c r="K176" s="369">
        <v>33.87</v>
      </c>
      <c r="L176" s="203">
        <f>+K176*I176</f>
        <v>14.225399999999999</v>
      </c>
      <c r="M176" s="202"/>
      <c r="N176" s="198"/>
      <c r="O176" s="198"/>
      <c r="P176" s="198">
        <f t="shared" si="11"/>
        <v>14.225399999999999</v>
      </c>
      <c r="Q176" s="178"/>
      <c r="R176" s="60"/>
    </row>
    <row r="177" spans="1:18" ht="12" outlineLevel="2">
      <c r="A177" s="13"/>
      <c r="B177" s="13"/>
      <c r="C177" s="363" t="s">
        <v>175</v>
      </c>
      <c r="D177" s="363"/>
      <c r="E177" s="201"/>
      <c r="F177" s="202"/>
      <c r="G177" s="202"/>
      <c r="H177" s="198"/>
      <c r="I177" s="367">
        <v>0.32</v>
      </c>
      <c r="J177" s="370" t="s">
        <v>26</v>
      </c>
      <c r="K177" s="369">
        <v>10</v>
      </c>
      <c r="L177" s="203">
        <f>+K177*I177</f>
        <v>3.2</v>
      </c>
      <c r="M177" s="202"/>
      <c r="N177" s="198"/>
      <c r="O177" s="198"/>
      <c r="P177" s="198">
        <f t="shared" si="11"/>
        <v>3.2</v>
      </c>
      <c r="Q177" s="178"/>
      <c r="R177" s="60"/>
    </row>
    <row r="178" spans="1:144" s="177" customFormat="1" ht="12" outlineLevel="1">
      <c r="A178" s="227" t="s">
        <v>183</v>
      </c>
      <c r="B178" s="227"/>
      <c r="C178" s="227"/>
      <c r="D178" s="227"/>
      <c r="E178" s="228"/>
      <c r="F178" s="229"/>
      <c r="G178" s="229"/>
      <c r="H178" s="230">
        <f>SUM(H146:H177)-H162</f>
        <v>296.77917533333334</v>
      </c>
      <c r="I178" s="244"/>
      <c r="J178" s="231"/>
      <c r="K178" s="228"/>
      <c r="L178" s="230">
        <f>SUM(L146:L177)-L162</f>
        <v>866.3892000000001</v>
      </c>
      <c r="M178" s="260">
        <f>SUM(M146:M177)-M162</f>
        <v>424.53999999999996</v>
      </c>
      <c r="N178" s="230"/>
      <c r="O178" s="230">
        <f>SUM(O146:O177)-O162</f>
        <v>923.579</v>
      </c>
      <c r="P178" s="230">
        <f>SUM(P146:P177)-P162</f>
        <v>2086.7473753333334</v>
      </c>
      <c r="Q178" s="230">
        <f>Q144+P178</f>
        <v>13210.248179000002</v>
      </c>
      <c r="R178" s="60"/>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69"/>
      <c r="AY178" s="169"/>
      <c r="AZ178" s="169"/>
      <c r="BA178" s="169"/>
      <c r="BB178" s="169"/>
      <c r="BC178" s="169"/>
      <c r="BD178" s="169"/>
      <c r="BE178" s="169"/>
      <c r="BF178" s="169"/>
      <c r="BG178" s="169"/>
      <c r="BH178" s="169"/>
      <c r="BI178" s="169"/>
      <c r="BJ178" s="169"/>
      <c r="BK178" s="169"/>
      <c r="BL178" s="169"/>
      <c r="BM178" s="169"/>
      <c r="BN178" s="169"/>
      <c r="BO178" s="169"/>
      <c r="BP178" s="169"/>
      <c r="BQ178" s="169"/>
      <c r="BR178" s="169"/>
      <c r="BS178" s="169"/>
      <c r="BT178" s="169"/>
      <c r="BU178" s="169"/>
      <c r="BV178" s="169"/>
      <c r="BW178" s="169"/>
      <c r="BX178" s="169"/>
      <c r="BY178" s="169"/>
      <c r="BZ178" s="169"/>
      <c r="CA178" s="169"/>
      <c r="CB178" s="169"/>
      <c r="CC178" s="169"/>
      <c r="CD178" s="169"/>
      <c r="CE178" s="169"/>
      <c r="CF178" s="169"/>
      <c r="CG178" s="169"/>
      <c r="CH178" s="169"/>
      <c r="CI178" s="169"/>
      <c r="CJ178" s="169"/>
      <c r="CK178" s="169"/>
      <c r="CL178" s="169"/>
      <c r="CM178" s="169"/>
      <c r="CN178" s="169"/>
      <c r="CO178" s="169"/>
      <c r="CP178" s="169"/>
      <c r="CQ178" s="169"/>
      <c r="CR178" s="169"/>
      <c r="CS178" s="169"/>
      <c r="CT178" s="169"/>
      <c r="CU178" s="169"/>
      <c r="CV178" s="169"/>
      <c r="CW178" s="169"/>
      <c r="CX178" s="169"/>
      <c r="CY178" s="169"/>
      <c r="CZ178" s="169"/>
      <c r="DA178" s="169"/>
      <c r="DB178" s="169"/>
      <c r="DC178" s="169"/>
      <c r="DD178" s="169"/>
      <c r="DE178" s="169"/>
      <c r="DF178" s="169"/>
      <c r="DG178" s="169"/>
      <c r="DH178" s="169"/>
      <c r="DI178" s="169"/>
      <c r="DJ178" s="169"/>
      <c r="DK178" s="169"/>
      <c r="DL178" s="169"/>
      <c r="DM178" s="169"/>
      <c r="DN178" s="169"/>
      <c r="DO178" s="169"/>
      <c r="DP178" s="169"/>
      <c r="DQ178" s="169"/>
      <c r="DR178" s="169"/>
      <c r="DS178" s="169"/>
      <c r="DT178" s="169"/>
      <c r="DU178" s="169"/>
      <c r="DV178" s="169"/>
      <c r="DW178" s="169"/>
      <c r="DX178" s="169"/>
      <c r="DY178" s="169"/>
      <c r="DZ178" s="169"/>
      <c r="EA178" s="169"/>
      <c r="EB178" s="169"/>
      <c r="EC178" s="169"/>
      <c r="ED178" s="169"/>
      <c r="EE178" s="169"/>
      <c r="EF178" s="169"/>
      <c r="EG178" s="169"/>
      <c r="EH178" s="169"/>
      <c r="EI178" s="169"/>
      <c r="EJ178" s="169"/>
      <c r="EK178" s="169"/>
      <c r="EL178" s="169"/>
      <c r="EM178" s="169"/>
      <c r="EN178" s="169"/>
    </row>
    <row r="179" spans="1:18" ht="12" outlineLevel="1">
      <c r="A179" s="153" t="s">
        <v>17</v>
      </c>
      <c r="B179" s="13"/>
      <c r="C179" s="13"/>
      <c r="D179" s="13"/>
      <c r="E179" s="201"/>
      <c r="F179" s="202"/>
      <c r="G179" s="202"/>
      <c r="H179" s="198" t="s">
        <v>2</v>
      </c>
      <c r="I179" s="198"/>
      <c r="J179" s="200"/>
      <c r="K179" s="201"/>
      <c r="L179" s="198"/>
      <c r="M179" s="202"/>
      <c r="N179" s="198"/>
      <c r="O179" s="198"/>
      <c r="P179" s="198"/>
      <c r="Q179" s="178" t="s">
        <v>2</v>
      </c>
      <c r="R179" s="60"/>
    </row>
    <row r="180" spans="1:18" ht="12" outlineLevel="2">
      <c r="A180" s="13" t="s">
        <v>144</v>
      </c>
      <c r="B180" s="13" t="s">
        <v>153</v>
      </c>
      <c r="C180" s="13"/>
      <c r="D180" s="13"/>
      <c r="E180" s="201" t="s">
        <v>139</v>
      </c>
      <c r="F180" s="202"/>
      <c r="G180" s="202"/>
      <c r="H180" s="198"/>
      <c r="I180" s="367">
        <v>7</v>
      </c>
      <c r="J180" s="370" t="s">
        <v>154</v>
      </c>
      <c r="K180" s="369">
        <v>1</v>
      </c>
      <c r="L180" s="198">
        <f>+K180*I180</f>
        <v>7</v>
      </c>
      <c r="M180" s="365">
        <v>0.5</v>
      </c>
      <c r="N180" s="337">
        <f>Assumptions!G29</f>
        <v>10.6</v>
      </c>
      <c r="O180" s="198">
        <f>+N180*M180</f>
        <v>5.3</v>
      </c>
      <c r="P180" s="198">
        <f aca="true" t="shared" si="12" ref="P180:P206">O180+L180+H180</f>
        <v>12.3</v>
      </c>
      <c r="Q180" s="178" t="s">
        <v>2</v>
      </c>
      <c r="R180" s="60" t="s">
        <v>2</v>
      </c>
    </row>
    <row r="181" spans="1:18" ht="12" outlineLevel="2">
      <c r="A181" s="13" t="s">
        <v>144</v>
      </c>
      <c r="B181" s="13" t="s">
        <v>174</v>
      </c>
      <c r="C181" s="13"/>
      <c r="D181" s="13"/>
      <c r="E181" s="201" t="s">
        <v>264</v>
      </c>
      <c r="F181" s="365">
        <v>2</v>
      </c>
      <c r="G181" s="202">
        <f>Machinery!U17+Machinery!V19</f>
        <v>7.6348</v>
      </c>
      <c r="H181" s="198">
        <f>G181*F181</f>
        <v>15.2696</v>
      </c>
      <c r="I181" s="203"/>
      <c r="J181" s="200" t="s">
        <v>2</v>
      </c>
      <c r="K181" s="201"/>
      <c r="L181" s="203"/>
      <c r="M181" s="365">
        <v>1</v>
      </c>
      <c r="N181" s="337">
        <f>Assumptions!G28</f>
        <v>14</v>
      </c>
      <c r="O181" s="198">
        <f>+N181*M181</f>
        <v>14</v>
      </c>
      <c r="P181" s="198">
        <f t="shared" si="12"/>
        <v>29.2696</v>
      </c>
      <c r="Q181" s="178"/>
      <c r="R181" s="60"/>
    </row>
    <row r="182" spans="1:18" ht="12" outlineLevel="2">
      <c r="A182" s="13"/>
      <c r="B182" s="13"/>
      <c r="C182" s="363" t="s">
        <v>218</v>
      </c>
      <c r="D182" s="363"/>
      <c r="E182" s="201" t="s">
        <v>2</v>
      </c>
      <c r="F182" s="202"/>
      <c r="G182" s="202"/>
      <c r="H182" s="198"/>
      <c r="I182" s="367">
        <v>0.88</v>
      </c>
      <c r="J182" s="370" t="s">
        <v>26</v>
      </c>
      <c r="K182" s="369">
        <v>53.85</v>
      </c>
      <c r="L182" s="203">
        <f>+K182*I182</f>
        <v>47.388</v>
      </c>
      <c r="M182" s="202"/>
      <c r="N182" s="198"/>
      <c r="O182" s="198"/>
      <c r="P182" s="198">
        <f t="shared" si="12"/>
        <v>47.388</v>
      </c>
      <c r="Q182" s="178"/>
      <c r="R182" s="60"/>
    </row>
    <row r="183" spans="1:18" ht="12" outlineLevel="2">
      <c r="A183" s="13" t="s">
        <v>144</v>
      </c>
      <c r="B183" s="13" t="s">
        <v>182</v>
      </c>
      <c r="C183" s="13"/>
      <c r="D183" s="13"/>
      <c r="E183" s="201" t="s">
        <v>208</v>
      </c>
      <c r="F183" s="365">
        <v>2</v>
      </c>
      <c r="G183" s="202">
        <f>Machinery!V19</f>
        <v>7.206266666666667</v>
      </c>
      <c r="H183" s="198">
        <f>G183*F183</f>
        <v>14.412533333333334</v>
      </c>
      <c r="I183" s="203"/>
      <c r="J183" s="200" t="s">
        <v>2</v>
      </c>
      <c r="K183" s="201"/>
      <c r="L183" s="203"/>
      <c r="M183" s="365">
        <v>0.2</v>
      </c>
      <c r="N183" s="337">
        <f>Assumptions!G28</f>
        <v>14</v>
      </c>
      <c r="O183" s="198">
        <f>+N183*M183</f>
        <v>2.8000000000000003</v>
      </c>
      <c r="P183" s="198">
        <f t="shared" si="12"/>
        <v>17.212533333333333</v>
      </c>
      <c r="Q183" s="178"/>
      <c r="R183" s="60"/>
    </row>
    <row r="184" spans="1:18" ht="12" outlineLevel="2">
      <c r="A184" s="13" t="s">
        <v>144</v>
      </c>
      <c r="B184" s="13" t="s">
        <v>374</v>
      </c>
      <c r="C184" s="13"/>
      <c r="D184" s="13"/>
      <c r="E184" s="6" t="s">
        <v>189</v>
      </c>
      <c r="F184" s="365">
        <v>0.65</v>
      </c>
      <c r="G184" s="202">
        <f>Machinery!U5+Machinery!U9</f>
        <v>20.65756</v>
      </c>
      <c r="H184" s="198">
        <f>G184*F184</f>
        <v>13.427414</v>
      </c>
      <c r="I184" s="203"/>
      <c r="J184" s="200" t="s">
        <v>2</v>
      </c>
      <c r="K184" s="201"/>
      <c r="L184" s="203"/>
      <c r="M184" s="202">
        <f>+F184*1.2</f>
        <v>0.78</v>
      </c>
      <c r="N184" s="337">
        <f>Assumptions!G29</f>
        <v>10.6</v>
      </c>
      <c r="O184" s="198">
        <f>+N184*M184</f>
        <v>8.268</v>
      </c>
      <c r="P184" s="198">
        <f t="shared" si="12"/>
        <v>21.695414</v>
      </c>
      <c r="Q184" s="178"/>
      <c r="R184" s="60"/>
    </row>
    <row r="185" spans="1:18" ht="12" outlineLevel="2">
      <c r="A185" s="13"/>
      <c r="B185" s="13"/>
      <c r="C185" s="363" t="s">
        <v>364</v>
      </c>
      <c r="D185" s="363"/>
      <c r="E185" s="6"/>
      <c r="F185" s="268"/>
      <c r="G185" s="202"/>
      <c r="H185" s="198"/>
      <c r="I185" s="367">
        <v>5.35</v>
      </c>
      <c r="J185" s="370" t="s">
        <v>35</v>
      </c>
      <c r="K185" s="369">
        <v>10</v>
      </c>
      <c r="L185" s="203">
        <f>+K185*I185</f>
        <v>53.5</v>
      </c>
      <c r="M185" s="202"/>
      <c r="N185" s="198"/>
      <c r="O185" s="198"/>
      <c r="P185" s="198">
        <f>O185+L185+H185</f>
        <v>53.5</v>
      </c>
      <c r="Q185" s="178"/>
      <c r="R185" s="60"/>
    </row>
    <row r="186" spans="1:18" ht="12" outlineLevel="2">
      <c r="A186" s="13" t="s">
        <v>2</v>
      </c>
      <c r="B186" s="13" t="s">
        <v>2</v>
      </c>
      <c r="C186" s="363" t="s">
        <v>358</v>
      </c>
      <c r="D186" s="363"/>
      <c r="E186" s="6" t="s">
        <v>2</v>
      </c>
      <c r="F186" s="268" t="s">
        <v>2</v>
      </c>
      <c r="G186" s="202" t="s">
        <v>2</v>
      </c>
      <c r="H186" s="198"/>
      <c r="I186" s="367">
        <v>51</v>
      </c>
      <c r="J186" s="370" t="s">
        <v>26</v>
      </c>
      <c r="K186" s="369">
        <v>1.5</v>
      </c>
      <c r="L186" s="198">
        <f>+K186*I186</f>
        <v>76.5</v>
      </c>
      <c r="M186" s="202" t="s">
        <v>2</v>
      </c>
      <c r="N186" s="198" t="s">
        <v>2</v>
      </c>
      <c r="O186" s="198"/>
      <c r="P186" s="198">
        <f t="shared" si="12"/>
        <v>76.5</v>
      </c>
      <c r="Q186" s="178"/>
      <c r="R186" s="60"/>
    </row>
    <row r="187" spans="1:18" ht="12" outlineLevel="2">
      <c r="A187" s="13" t="s">
        <v>144</v>
      </c>
      <c r="B187" s="13" t="s">
        <v>220</v>
      </c>
      <c r="C187" s="13"/>
      <c r="D187" s="13"/>
      <c r="E187" s="201"/>
      <c r="F187" s="202"/>
      <c r="G187" s="202"/>
      <c r="H187" s="198"/>
      <c r="I187" s="210"/>
      <c r="J187" s="200"/>
      <c r="K187" s="201"/>
      <c r="L187" s="198"/>
      <c r="M187" s="365">
        <f>50/5</f>
        <v>10</v>
      </c>
      <c r="N187" s="337">
        <f>Assumptions!G29</f>
        <v>10.6</v>
      </c>
      <c r="O187" s="198">
        <f>+N187*M187</f>
        <v>106</v>
      </c>
      <c r="P187" s="198">
        <f t="shared" si="12"/>
        <v>106</v>
      </c>
      <c r="Q187" s="178"/>
      <c r="R187" s="60"/>
    </row>
    <row r="188" spans="1:18" ht="12" outlineLevel="2">
      <c r="A188" s="13" t="s">
        <v>144</v>
      </c>
      <c r="B188" s="13" t="s">
        <v>221</v>
      </c>
      <c r="C188" s="13"/>
      <c r="D188" s="13"/>
      <c r="E188" s="201"/>
      <c r="F188" s="202"/>
      <c r="G188" s="202"/>
      <c r="H188" s="198"/>
      <c r="I188" s="203">
        <f>Assumptions!G32</f>
        <v>0.75</v>
      </c>
      <c r="J188" s="215" t="s">
        <v>257</v>
      </c>
      <c r="K188" s="267">
        <f>Assumptions!H13/6</f>
        <v>637.5</v>
      </c>
      <c r="L188" s="198">
        <f>+K188*I188</f>
        <v>478.125</v>
      </c>
      <c r="M188" s="365">
        <f>50/5</f>
        <v>10</v>
      </c>
      <c r="N188" s="337">
        <f>Assumptions!G29</f>
        <v>10.6</v>
      </c>
      <c r="O188" s="198">
        <f>+N188*M188</f>
        <v>106</v>
      </c>
      <c r="P188" s="198">
        <f t="shared" si="12"/>
        <v>584.125</v>
      </c>
      <c r="Q188" s="178"/>
      <c r="R188" s="60"/>
    </row>
    <row r="189" spans="1:18" ht="12" outlineLevel="2">
      <c r="A189" s="13" t="s">
        <v>144</v>
      </c>
      <c r="B189" s="13" t="s">
        <v>181</v>
      </c>
      <c r="C189" s="13"/>
      <c r="D189" s="13"/>
      <c r="E189" s="201"/>
      <c r="F189" s="202"/>
      <c r="G189" s="202"/>
      <c r="H189" s="198"/>
      <c r="I189" s="210" t="s">
        <v>2</v>
      </c>
      <c r="J189" s="200" t="s">
        <v>2</v>
      </c>
      <c r="K189" s="201" t="s">
        <v>2</v>
      </c>
      <c r="L189" s="198"/>
      <c r="M189" s="268">
        <f>K188*Assumptions!G22</f>
        <v>382.5</v>
      </c>
      <c r="N189" s="339">
        <f>Assumptions!G30</f>
        <v>1.15</v>
      </c>
      <c r="O189" s="198">
        <f>+N189*M189</f>
        <v>439.87499999999994</v>
      </c>
      <c r="P189" s="198">
        <f t="shared" si="12"/>
        <v>439.87499999999994</v>
      </c>
      <c r="Q189" s="178"/>
      <c r="R189" s="60"/>
    </row>
    <row r="190" spans="1:18" ht="12" outlineLevel="2">
      <c r="A190" s="13" t="s">
        <v>140</v>
      </c>
      <c r="B190" s="13" t="s">
        <v>174</v>
      </c>
      <c r="C190" s="13"/>
      <c r="D190" s="13"/>
      <c r="E190" s="201" t="s">
        <v>264</v>
      </c>
      <c r="F190" s="365">
        <v>2</v>
      </c>
      <c r="G190" s="202">
        <f>Machinery!U17+Machinery!V19</f>
        <v>7.6348</v>
      </c>
      <c r="H190" s="198">
        <f>G190*F190</f>
        <v>15.2696</v>
      </c>
      <c r="I190" s="203"/>
      <c r="J190" s="200" t="s">
        <v>2</v>
      </c>
      <c r="K190" s="201"/>
      <c r="L190" s="203"/>
      <c r="M190" s="365">
        <v>1</v>
      </c>
      <c r="N190" s="337">
        <f>Assumptions!G28</f>
        <v>14</v>
      </c>
      <c r="O190" s="198">
        <f>+N190*M190</f>
        <v>14</v>
      </c>
      <c r="P190" s="198">
        <f t="shared" si="12"/>
        <v>29.2696</v>
      </c>
      <c r="Q190" s="178"/>
      <c r="R190" s="60"/>
    </row>
    <row r="191" spans="1:18" ht="12" outlineLevel="2">
      <c r="A191" s="13"/>
      <c r="B191" s="13"/>
      <c r="C191" s="363" t="s">
        <v>214</v>
      </c>
      <c r="D191" s="363"/>
      <c r="E191" s="201" t="s">
        <v>2</v>
      </c>
      <c r="F191" s="202"/>
      <c r="G191" s="202"/>
      <c r="H191" s="198"/>
      <c r="I191" s="367">
        <v>0.42</v>
      </c>
      <c r="J191" s="370" t="s">
        <v>26</v>
      </c>
      <c r="K191" s="369">
        <v>33.87</v>
      </c>
      <c r="L191" s="203">
        <f>+K191*I191</f>
        <v>14.225399999999999</v>
      </c>
      <c r="M191" s="202"/>
      <c r="N191" s="198"/>
      <c r="O191" s="198"/>
      <c r="P191" s="198">
        <f t="shared" si="12"/>
        <v>14.225399999999999</v>
      </c>
      <c r="Q191" s="178"/>
      <c r="R191" s="60"/>
    </row>
    <row r="192" spans="1:18" ht="12" outlineLevel="2">
      <c r="A192" s="13" t="s">
        <v>140</v>
      </c>
      <c r="B192" s="13" t="s">
        <v>184</v>
      </c>
      <c r="C192" s="13"/>
      <c r="D192" s="13"/>
      <c r="E192" s="201" t="s">
        <v>208</v>
      </c>
      <c r="F192" s="365">
        <v>2</v>
      </c>
      <c r="G192" s="202">
        <f>Machinery!V19</f>
        <v>7.206266666666667</v>
      </c>
      <c r="H192" s="198">
        <f>G192*F192</f>
        <v>14.412533333333334</v>
      </c>
      <c r="I192" s="203"/>
      <c r="J192" s="200" t="s">
        <v>2</v>
      </c>
      <c r="K192" s="201"/>
      <c r="L192" s="203"/>
      <c r="M192" s="365">
        <v>0.2</v>
      </c>
      <c r="N192" s="337">
        <f>Assumptions!G28</f>
        <v>14</v>
      </c>
      <c r="O192" s="198">
        <f aca="true" t="shared" si="13" ref="O192:O206">+N192*M192</f>
        <v>2.8000000000000003</v>
      </c>
      <c r="P192" s="198">
        <f t="shared" si="12"/>
        <v>17.212533333333333</v>
      </c>
      <c r="Q192" s="178"/>
      <c r="R192" s="60"/>
    </row>
    <row r="193" spans="1:18" ht="12" outlineLevel="2">
      <c r="A193" s="13" t="s">
        <v>140</v>
      </c>
      <c r="B193" s="13" t="s">
        <v>220</v>
      </c>
      <c r="C193" s="13"/>
      <c r="D193" s="13"/>
      <c r="E193" s="201"/>
      <c r="F193" s="202"/>
      <c r="G193" s="202"/>
      <c r="H193" s="198"/>
      <c r="I193" s="210"/>
      <c r="J193" s="200"/>
      <c r="K193" s="201"/>
      <c r="L193" s="198"/>
      <c r="M193" s="365">
        <f>60/5</f>
        <v>12</v>
      </c>
      <c r="N193" s="337">
        <f>Assumptions!G29</f>
        <v>10.6</v>
      </c>
      <c r="O193" s="198">
        <f t="shared" si="13"/>
        <v>127.19999999999999</v>
      </c>
      <c r="P193" s="198">
        <f t="shared" si="12"/>
        <v>127.19999999999999</v>
      </c>
      <c r="Q193" s="178"/>
      <c r="R193" s="60"/>
    </row>
    <row r="194" spans="1:18" ht="12" outlineLevel="2">
      <c r="A194" s="13" t="s">
        <v>140</v>
      </c>
      <c r="B194" s="13" t="s">
        <v>221</v>
      </c>
      <c r="C194" s="13"/>
      <c r="D194" s="13"/>
      <c r="E194" s="201"/>
      <c r="F194" s="202"/>
      <c r="G194" s="202"/>
      <c r="H194" s="198"/>
      <c r="I194" s="203">
        <f>Assumptions!G32</f>
        <v>0.75</v>
      </c>
      <c r="J194" s="215" t="s">
        <v>257</v>
      </c>
      <c r="K194" s="267">
        <f>Assumptions!H14/6</f>
        <v>510</v>
      </c>
      <c r="L194" s="198">
        <f>+K194*I194</f>
        <v>382.5</v>
      </c>
      <c r="M194" s="365">
        <f>60/5</f>
        <v>12</v>
      </c>
      <c r="N194" s="337">
        <f>Assumptions!G29</f>
        <v>10.6</v>
      </c>
      <c r="O194" s="198">
        <f t="shared" si="13"/>
        <v>127.19999999999999</v>
      </c>
      <c r="P194" s="198">
        <f t="shared" si="12"/>
        <v>509.7</v>
      </c>
      <c r="Q194" s="178"/>
      <c r="R194" s="60"/>
    </row>
    <row r="195" spans="1:18" ht="12" outlineLevel="2">
      <c r="A195" s="13" t="s">
        <v>140</v>
      </c>
      <c r="B195" s="13" t="s">
        <v>181</v>
      </c>
      <c r="C195" s="13"/>
      <c r="D195" s="13"/>
      <c r="E195" s="201"/>
      <c r="F195" s="202"/>
      <c r="G195" s="202"/>
      <c r="H195" s="198"/>
      <c r="I195" s="210" t="s">
        <v>2</v>
      </c>
      <c r="J195" s="200" t="s">
        <v>2</v>
      </c>
      <c r="K195" s="201" t="s">
        <v>2</v>
      </c>
      <c r="L195" s="198"/>
      <c r="M195" s="268">
        <f>K194*Assumptions!G22</f>
        <v>306</v>
      </c>
      <c r="N195" s="339">
        <f>Assumptions!G30</f>
        <v>1.15</v>
      </c>
      <c r="O195" s="198">
        <f t="shared" si="13"/>
        <v>351.9</v>
      </c>
      <c r="P195" s="198">
        <f t="shared" si="12"/>
        <v>351.9</v>
      </c>
      <c r="Q195" s="178"/>
      <c r="R195" s="60"/>
    </row>
    <row r="196" spans="1:18" ht="12" outlineLevel="2">
      <c r="A196" s="13" t="s">
        <v>233</v>
      </c>
      <c r="B196" s="13" t="s">
        <v>184</v>
      </c>
      <c r="C196" s="13"/>
      <c r="D196" s="13"/>
      <c r="E196" s="201" t="s">
        <v>208</v>
      </c>
      <c r="F196" s="365">
        <v>4</v>
      </c>
      <c r="G196" s="202">
        <f>Machinery!V19</f>
        <v>7.206266666666667</v>
      </c>
      <c r="H196" s="198">
        <f>G196*F196</f>
        <v>28.825066666666668</v>
      </c>
      <c r="I196" s="203"/>
      <c r="J196" s="200" t="s">
        <v>2</v>
      </c>
      <c r="K196" s="201"/>
      <c r="L196" s="203"/>
      <c r="M196" s="365">
        <v>0.4</v>
      </c>
      <c r="N196" s="337">
        <f>Assumptions!G28</f>
        <v>14</v>
      </c>
      <c r="O196" s="198">
        <f t="shared" si="13"/>
        <v>5.6000000000000005</v>
      </c>
      <c r="P196" s="198">
        <f t="shared" si="12"/>
        <v>34.425066666666666</v>
      </c>
      <c r="Q196" s="178"/>
      <c r="R196" s="60"/>
    </row>
    <row r="197" spans="1:18" ht="12" outlineLevel="2">
      <c r="A197" s="13" t="s">
        <v>233</v>
      </c>
      <c r="B197" s="13" t="s">
        <v>220</v>
      </c>
      <c r="C197" s="13"/>
      <c r="D197" s="13"/>
      <c r="E197" s="201"/>
      <c r="F197" s="202"/>
      <c r="G197" s="202"/>
      <c r="H197" s="198"/>
      <c r="I197" s="210"/>
      <c r="J197" s="200"/>
      <c r="K197" s="201"/>
      <c r="L197" s="198"/>
      <c r="M197" s="365">
        <f>50/5</f>
        <v>10</v>
      </c>
      <c r="N197" s="337">
        <f>Assumptions!G29</f>
        <v>10.6</v>
      </c>
      <c r="O197" s="198">
        <f t="shared" si="13"/>
        <v>106</v>
      </c>
      <c r="P197" s="198">
        <f t="shared" si="12"/>
        <v>106</v>
      </c>
      <c r="Q197" s="178"/>
      <c r="R197" s="60"/>
    </row>
    <row r="198" spans="1:18" ht="12" outlineLevel="2">
      <c r="A198" s="13" t="s">
        <v>233</v>
      </c>
      <c r="B198" s="13" t="s">
        <v>221</v>
      </c>
      <c r="C198" s="13"/>
      <c r="D198" s="13"/>
      <c r="E198" s="201"/>
      <c r="F198" s="202"/>
      <c r="G198" s="202"/>
      <c r="H198" s="198"/>
      <c r="I198" s="203">
        <f>Assumptions!G32</f>
        <v>0.75</v>
      </c>
      <c r="J198" s="215" t="s">
        <v>257</v>
      </c>
      <c r="K198" s="267">
        <f>Assumptions!H15/6</f>
        <v>382.5</v>
      </c>
      <c r="L198" s="198">
        <f>+K198*I198</f>
        <v>286.875</v>
      </c>
      <c r="M198" s="365">
        <f>50/5</f>
        <v>10</v>
      </c>
      <c r="N198" s="337">
        <f>Assumptions!G29</f>
        <v>10.6</v>
      </c>
      <c r="O198" s="198">
        <f t="shared" si="13"/>
        <v>106</v>
      </c>
      <c r="P198" s="198">
        <f t="shared" si="12"/>
        <v>392.875</v>
      </c>
      <c r="Q198" s="178"/>
      <c r="R198" s="60"/>
    </row>
    <row r="199" spans="1:18" ht="12" outlineLevel="2">
      <c r="A199" s="13" t="s">
        <v>233</v>
      </c>
      <c r="B199" s="13" t="s">
        <v>181</v>
      </c>
      <c r="C199" s="13"/>
      <c r="D199" s="13"/>
      <c r="E199" s="201"/>
      <c r="F199" s="202"/>
      <c r="G199" s="202"/>
      <c r="H199" s="198"/>
      <c r="I199" s="210" t="s">
        <v>2</v>
      </c>
      <c r="J199" s="200" t="s">
        <v>2</v>
      </c>
      <c r="K199" s="201" t="s">
        <v>2</v>
      </c>
      <c r="L199" s="198"/>
      <c r="M199" s="268">
        <f>K198*Assumptions!G22</f>
        <v>229.5</v>
      </c>
      <c r="N199" s="339">
        <f>Assumptions!G30</f>
        <v>1.15</v>
      </c>
      <c r="O199" s="198">
        <f t="shared" si="13"/>
        <v>263.92499999999995</v>
      </c>
      <c r="P199" s="198">
        <f t="shared" si="12"/>
        <v>263.92499999999995</v>
      </c>
      <c r="Q199" s="178"/>
      <c r="R199" s="60"/>
    </row>
    <row r="200" spans="1:18" ht="12" outlineLevel="2">
      <c r="A200" s="13" t="s">
        <v>146</v>
      </c>
      <c r="B200" s="13" t="s">
        <v>365</v>
      </c>
      <c r="C200" s="13"/>
      <c r="D200" s="13"/>
      <c r="E200" s="6" t="s">
        <v>189</v>
      </c>
      <c r="F200" s="365">
        <v>0.65</v>
      </c>
      <c r="G200" s="202">
        <f>Machinery!U5+Machinery!U9</f>
        <v>20.65756</v>
      </c>
      <c r="H200" s="198">
        <f>G200*F200</f>
        <v>13.427414</v>
      </c>
      <c r="I200" s="210" t="s">
        <v>2</v>
      </c>
      <c r="J200" s="200" t="s">
        <v>2</v>
      </c>
      <c r="K200" s="201" t="s">
        <v>2</v>
      </c>
      <c r="L200" s="198"/>
      <c r="M200" s="202">
        <f>+F200*1.2</f>
        <v>0.78</v>
      </c>
      <c r="N200" s="337">
        <f>Assumptions!G29</f>
        <v>10.6</v>
      </c>
      <c r="O200" s="198">
        <f t="shared" si="13"/>
        <v>8.268</v>
      </c>
      <c r="P200" s="198">
        <f t="shared" si="12"/>
        <v>21.695414</v>
      </c>
      <c r="Q200" s="178"/>
      <c r="R200" s="60"/>
    </row>
    <row r="201" spans="1:18" ht="12" outlineLevel="2">
      <c r="A201" s="13"/>
      <c r="B201" s="13"/>
      <c r="C201" s="363" t="s">
        <v>358</v>
      </c>
      <c r="D201" s="363"/>
      <c r="E201" s="6"/>
      <c r="F201" s="268"/>
      <c r="G201" s="202"/>
      <c r="H201" s="198"/>
      <c r="I201" s="367">
        <v>51</v>
      </c>
      <c r="J201" s="370" t="s">
        <v>26</v>
      </c>
      <c r="K201" s="369">
        <v>1.5</v>
      </c>
      <c r="L201" s="198">
        <f>+K201*I201</f>
        <v>76.5</v>
      </c>
      <c r="M201" s="202" t="s">
        <v>2</v>
      </c>
      <c r="N201" s="198" t="s">
        <v>2</v>
      </c>
      <c r="O201" s="198"/>
      <c r="P201" s="198">
        <f>O201+L201+H201</f>
        <v>76.5</v>
      </c>
      <c r="Q201" s="178"/>
      <c r="R201" s="60"/>
    </row>
    <row r="202" spans="1:18" ht="12" outlineLevel="2">
      <c r="A202" s="13" t="s">
        <v>149</v>
      </c>
      <c r="B202" s="13" t="s">
        <v>184</v>
      </c>
      <c r="C202" s="13"/>
      <c r="D202" s="13"/>
      <c r="E202" s="201" t="s">
        <v>208</v>
      </c>
      <c r="F202" s="365">
        <v>4</v>
      </c>
      <c r="G202" s="202">
        <f>Machinery!V19</f>
        <v>7.206266666666667</v>
      </c>
      <c r="H202" s="198">
        <f>G202*F202</f>
        <v>28.825066666666668</v>
      </c>
      <c r="I202" s="203"/>
      <c r="J202" s="200" t="s">
        <v>2</v>
      </c>
      <c r="K202" s="201"/>
      <c r="L202" s="203"/>
      <c r="M202" s="365">
        <v>0.4</v>
      </c>
      <c r="N202" s="337">
        <f>Assumptions!G28</f>
        <v>14</v>
      </c>
      <c r="O202" s="198">
        <f t="shared" si="13"/>
        <v>5.6000000000000005</v>
      </c>
      <c r="P202" s="198">
        <f t="shared" si="12"/>
        <v>34.425066666666666</v>
      </c>
      <c r="Q202" s="178"/>
      <c r="R202" s="60"/>
    </row>
    <row r="203" spans="1:18" ht="12" outlineLevel="2">
      <c r="A203" s="13" t="s">
        <v>149</v>
      </c>
      <c r="B203" s="13" t="s">
        <v>220</v>
      </c>
      <c r="C203" s="13"/>
      <c r="D203" s="13"/>
      <c r="E203" s="201"/>
      <c r="F203" s="202"/>
      <c r="G203" s="202"/>
      <c r="H203" s="198"/>
      <c r="I203" s="210"/>
      <c r="J203" s="200"/>
      <c r="K203" s="201"/>
      <c r="L203" s="198"/>
      <c r="M203" s="365">
        <f>30/5</f>
        <v>6</v>
      </c>
      <c r="N203" s="337">
        <f>Assumptions!G29</f>
        <v>10.6</v>
      </c>
      <c r="O203" s="198">
        <f t="shared" si="13"/>
        <v>63.599999999999994</v>
      </c>
      <c r="P203" s="198">
        <f t="shared" si="12"/>
        <v>63.599999999999994</v>
      </c>
      <c r="Q203" s="178"/>
      <c r="R203" s="60"/>
    </row>
    <row r="204" spans="1:18" ht="12" outlineLevel="2">
      <c r="A204" s="13" t="s">
        <v>149</v>
      </c>
      <c r="B204" s="13" t="s">
        <v>221</v>
      </c>
      <c r="C204" s="13"/>
      <c r="D204" s="13"/>
      <c r="E204" s="201"/>
      <c r="F204" s="202"/>
      <c r="G204" s="202"/>
      <c r="H204" s="198"/>
      <c r="I204" s="203">
        <f>Assumptions!G32</f>
        <v>0.75</v>
      </c>
      <c r="J204" s="215" t="s">
        <v>257</v>
      </c>
      <c r="K204" s="267">
        <f>Assumptions!H16/6</f>
        <v>382.5</v>
      </c>
      <c r="L204" s="198">
        <f>+K204*I204</f>
        <v>286.875</v>
      </c>
      <c r="M204" s="365">
        <f>30/5</f>
        <v>6</v>
      </c>
      <c r="N204" s="337">
        <f>Assumptions!G29</f>
        <v>10.6</v>
      </c>
      <c r="O204" s="198">
        <f t="shared" si="13"/>
        <v>63.599999999999994</v>
      </c>
      <c r="P204" s="198">
        <f t="shared" si="12"/>
        <v>350.475</v>
      </c>
      <c r="Q204" s="178"/>
      <c r="R204" s="60"/>
    </row>
    <row r="205" spans="1:18" ht="12" outlineLevel="2">
      <c r="A205" s="13" t="s">
        <v>149</v>
      </c>
      <c r="B205" s="13" t="s">
        <v>181</v>
      </c>
      <c r="C205" s="13"/>
      <c r="D205" s="13"/>
      <c r="E205" s="201"/>
      <c r="F205" s="202"/>
      <c r="G205" s="202"/>
      <c r="H205" s="198"/>
      <c r="I205" s="210" t="s">
        <v>2</v>
      </c>
      <c r="J205" s="200" t="s">
        <v>2</v>
      </c>
      <c r="K205" s="201" t="s">
        <v>2</v>
      </c>
      <c r="L205" s="198"/>
      <c r="M205" s="268">
        <f>K204*Assumptions!G22</f>
        <v>229.5</v>
      </c>
      <c r="N205" s="339">
        <f>Assumptions!G30</f>
        <v>1.15</v>
      </c>
      <c r="O205" s="198">
        <f t="shared" si="13"/>
        <v>263.92499999999995</v>
      </c>
      <c r="P205" s="198">
        <f t="shared" si="12"/>
        <v>263.92499999999995</v>
      </c>
      <c r="Q205" s="178"/>
      <c r="R205" s="60"/>
    </row>
    <row r="206" spans="1:18" ht="12" outlineLevel="2">
      <c r="A206" s="13" t="s">
        <v>149</v>
      </c>
      <c r="B206" s="13" t="s">
        <v>185</v>
      </c>
      <c r="C206" s="13"/>
      <c r="D206" s="13"/>
      <c r="E206" s="201"/>
      <c r="F206" s="202"/>
      <c r="G206" s="202"/>
      <c r="H206" s="198"/>
      <c r="I206" s="203"/>
      <c r="J206" s="200"/>
      <c r="K206" s="201"/>
      <c r="L206" s="203"/>
      <c r="M206" s="365">
        <v>6</v>
      </c>
      <c r="N206" s="337">
        <f>Assumptions!G29</f>
        <v>10.6</v>
      </c>
      <c r="O206" s="198">
        <f t="shared" si="13"/>
        <v>63.599999999999994</v>
      </c>
      <c r="P206" s="198">
        <f t="shared" si="12"/>
        <v>63.599999999999994</v>
      </c>
      <c r="Q206" s="178"/>
      <c r="R206" s="60"/>
    </row>
    <row r="207" spans="1:144" s="177" customFormat="1" ht="12" outlineLevel="1">
      <c r="A207" s="227" t="s">
        <v>186</v>
      </c>
      <c r="B207" s="227"/>
      <c r="C207" s="227"/>
      <c r="D207" s="227"/>
      <c r="E207" s="228"/>
      <c r="F207" s="229"/>
      <c r="G207" s="229"/>
      <c r="H207" s="230">
        <f>SUM(H180:H206)</f>
        <v>143.869228</v>
      </c>
      <c r="I207" s="230"/>
      <c r="J207" s="231"/>
      <c r="K207" s="228"/>
      <c r="L207" s="230">
        <f>SUM(L180:L206)</f>
        <v>1709.4884000000002</v>
      </c>
      <c r="M207" s="260">
        <f>SUM(M180:M206)</f>
        <v>1234.76</v>
      </c>
      <c r="N207" s="230"/>
      <c r="O207" s="230">
        <f>SUM(O180:O206)</f>
        <v>2255.4609999999993</v>
      </c>
      <c r="P207" s="230">
        <f>SUM(P180:P206)</f>
        <v>4108.818628</v>
      </c>
      <c r="Q207" s="230">
        <f>P207+Q178</f>
        <v>17319.066807000003</v>
      </c>
      <c r="R207" s="60"/>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c r="AW207" s="169"/>
      <c r="AX207" s="169"/>
      <c r="AY207" s="169"/>
      <c r="AZ207" s="169"/>
      <c r="BA207" s="169"/>
      <c r="BB207" s="169"/>
      <c r="BC207" s="169"/>
      <c r="BD207" s="169"/>
      <c r="BE207" s="169"/>
      <c r="BF207" s="169"/>
      <c r="BG207" s="169"/>
      <c r="BH207" s="169"/>
      <c r="BI207" s="169"/>
      <c r="BJ207" s="169"/>
      <c r="BK207" s="169"/>
      <c r="BL207" s="169"/>
      <c r="BM207" s="169"/>
      <c r="BN207" s="169"/>
      <c r="BO207" s="169"/>
      <c r="BP207" s="169"/>
      <c r="BQ207" s="169"/>
      <c r="BR207" s="169"/>
      <c r="BS207" s="169"/>
      <c r="BT207" s="169"/>
      <c r="BU207" s="169"/>
      <c r="BV207" s="169"/>
      <c r="BW207" s="169"/>
      <c r="BX207" s="169"/>
      <c r="BY207" s="169"/>
      <c r="BZ207" s="169"/>
      <c r="CA207" s="169"/>
      <c r="CB207" s="169"/>
      <c r="CC207" s="169"/>
      <c r="CD207" s="169"/>
      <c r="CE207" s="169"/>
      <c r="CF207" s="169"/>
      <c r="CG207" s="169"/>
      <c r="CH207" s="169"/>
      <c r="CI207" s="169"/>
      <c r="CJ207" s="169"/>
      <c r="CK207" s="169"/>
      <c r="CL207" s="169"/>
      <c r="CM207" s="169"/>
      <c r="CN207" s="169"/>
      <c r="CO207" s="169"/>
      <c r="CP207" s="169"/>
      <c r="CQ207" s="169"/>
      <c r="CR207" s="169"/>
      <c r="CS207" s="169"/>
      <c r="CT207" s="169"/>
      <c r="CU207" s="169"/>
      <c r="CV207" s="169"/>
      <c r="CW207" s="169"/>
      <c r="CX207" s="169"/>
      <c r="CY207" s="169"/>
      <c r="CZ207" s="169"/>
      <c r="DA207" s="169"/>
      <c r="DB207" s="169"/>
      <c r="DC207" s="169"/>
      <c r="DD207" s="169"/>
      <c r="DE207" s="169"/>
      <c r="DF207" s="169"/>
      <c r="DG207" s="169"/>
      <c r="DH207" s="169"/>
      <c r="DI207" s="169"/>
      <c r="DJ207" s="169"/>
      <c r="DK207" s="169"/>
      <c r="DL207" s="169"/>
      <c r="DM207" s="169"/>
      <c r="DN207" s="169"/>
      <c r="DO207" s="169"/>
      <c r="DP207" s="169"/>
      <c r="DQ207" s="169"/>
      <c r="DR207" s="169"/>
      <c r="DS207" s="169"/>
      <c r="DT207" s="169"/>
      <c r="DU207" s="169"/>
      <c r="DV207" s="169"/>
      <c r="DW207" s="169"/>
      <c r="DX207" s="169"/>
      <c r="DY207" s="169"/>
      <c r="DZ207" s="169"/>
      <c r="EA207" s="169"/>
      <c r="EB207" s="169"/>
      <c r="EC207" s="169"/>
      <c r="ED207" s="169"/>
      <c r="EE207" s="169"/>
      <c r="EF207" s="169"/>
      <c r="EG207" s="169"/>
      <c r="EH207" s="169"/>
      <c r="EI207" s="169"/>
      <c r="EJ207" s="169"/>
      <c r="EK207" s="169"/>
      <c r="EL207" s="169"/>
      <c r="EM207" s="169"/>
      <c r="EN207" s="169"/>
    </row>
    <row r="208" spans="1:144" s="218" customFormat="1" ht="12">
      <c r="A208" s="246" t="s">
        <v>222</v>
      </c>
      <c r="B208" s="224"/>
      <c r="C208" s="224"/>
      <c r="D208" s="224"/>
      <c r="E208" s="225"/>
      <c r="F208" s="226"/>
      <c r="G208" s="226"/>
      <c r="H208" s="238">
        <f>SUM(H165:H206)-H178</f>
        <v>186.97877533333337</v>
      </c>
      <c r="I208" s="238"/>
      <c r="J208" s="249"/>
      <c r="K208" s="250"/>
      <c r="L208" s="238">
        <f>SUM(L165:L206)-L178</f>
        <v>2310.8388</v>
      </c>
      <c r="M208" s="274">
        <f>SUM(M165:M206)-M178</f>
        <v>1647.2400000000002</v>
      </c>
      <c r="N208" s="238"/>
      <c r="O208" s="238">
        <f>SUM(O165:O206)-O178</f>
        <v>3017.203999999999</v>
      </c>
      <c r="P208" s="238">
        <f>SUM(P165:P206)-P178</f>
        <v>5515.021575333334</v>
      </c>
      <c r="Q208" s="238">
        <f>Q162+P208</f>
        <v>17319.066806999996</v>
      </c>
      <c r="R208" s="60"/>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169"/>
      <c r="AR208" s="169"/>
      <c r="AS208" s="169"/>
      <c r="AT208" s="169"/>
      <c r="AU208" s="169"/>
      <c r="AV208" s="169"/>
      <c r="AW208" s="169"/>
      <c r="AX208" s="169"/>
      <c r="AY208" s="169"/>
      <c r="AZ208" s="169"/>
      <c r="BA208" s="169"/>
      <c r="BB208" s="169"/>
      <c r="BC208" s="169"/>
      <c r="BD208" s="169"/>
      <c r="BE208" s="169"/>
      <c r="BF208" s="169"/>
      <c r="BG208" s="169"/>
      <c r="BH208" s="169"/>
      <c r="BI208" s="169"/>
      <c r="BJ208" s="169"/>
      <c r="BK208" s="169"/>
      <c r="BL208" s="169"/>
      <c r="BM208" s="169"/>
      <c r="BN208" s="169"/>
      <c r="BO208" s="169"/>
      <c r="BP208" s="169"/>
      <c r="BQ208" s="169"/>
      <c r="BR208" s="169"/>
      <c r="BS208" s="169"/>
      <c r="BT208" s="169"/>
      <c r="BU208" s="169"/>
      <c r="BV208" s="169"/>
      <c r="BW208" s="169"/>
      <c r="BX208" s="169"/>
      <c r="BY208" s="169"/>
      <c r="BZ208" s="169"/>
      <c r="CA208" s="169"/>
      <c r="CB208" s="169"/>
      <c r="CC208" s="169"/>
      <c r="CD208" s="169"/>
      <c r="CE208" s="169"/>
      <c r="CF208" s="169"/>
      <c r="CG208" s="169"/>
      <c r="CH208" s="169"/>
      <c r="CI208" s="169"/>
      <c r="CJ208" s="169"/>
      <c r="CK208" s="169"/>
      <c r="CL208" s="169"/>
      <c r="CM208" s="169"/>
      <c r="CN208" s="169"/>
      <c r="CO208" s="169"/>
      <c r="CP208" s="169"/>
      <c r="CQ208" s="169"/>
      <c r="CR208" s="169"/>
      <c r="CS208" s="169"/>
      <c r="CT208" s="169"/>
      <c r="CU208" s="169"/>
      <c r="CV208" s="169"/>
      <c r="CW208" s="169"/>
      <c r="CX208" s="169"/>
      <c r="CY208" s="169"/>
      <c r="CZ208" s="169"/>
      <c r="DA208" s="169"/>
      <c r="DB208" s="169"/>
      <c r="DC208" s="169"/>
      <c r="DD208" s="169"/>
      <c r="DE208" s="169"/>
      <c r="DF208" s="169"/>
      <c r="DG208" s="169"/>
      <c r="DH208" s="169"/>
      <c r="DI208" s="169"/>
      <c r="DJ208" s="169"/>
      <c r="DK208" s="169"/>
      <c r="DL208" s="169"/>
      <c r="DM208" s="169"/>
      <c r="DN208" s="169"/>
      <c r="DO208" s="169"/>
      <c r="DP208" s="169"/>
      <c r="DQ208" s="169"/>
      <c r="DR208" s="169"/>
      <c r="DS208" s="169"/>
      <c r="DT208" s="169"/>
      <c r="DU208" s="169"/>
      <c r="DV208" s="169"/>
      <c r="DW208" s="169"/>
      <c r="DX208" s="169"/>
      <c r="DY208" s="169"/>
      <c r="DZ208" s="169"/>
      <c r="EA208" s="169"/>
      <c r="EB208" s="169"/>
      <c r="EC208" s="169"/>
      <c r="ED208" s="169"/>
      <c r="EE208" s="169"/>
      <c r="EF208" s="169"/>
      <c r="EG208" s="169"/>
      <c r="EH208" s="169"/>
      <c r="EI208" s="169"/>
      <c r="EJ208" s="169"/>
      <c r="EK208" s="169"/>
      <c r="EL208" s="169"/>
      <c r="EM208" s="169"/>
      <c r="EN208" s="169"/>
    </row>
    <row r="209" spans="1:144" s="218" customFormat="1" ht="12">
      <c r="A209" s="290" t="s">
        <v>269</v>
      </c>
      <c r="B209" s="224"/>
      <c r="C209" s="224"/>
      <c r="D209" s="224"/>
      <c r="E209" s="225"/>
      <c r="F209" s="226"/>
      <c r="G209" s="226"/>
      <c r="H209" s="238">
        <f>H23+H50+H72+H89+H162+H208</f>
        <v>1815.8120570000006</v>
      </c>
      <c r="I209" s="238"/>
      <c r="J209" s="249"/>
      <c r="K209" s="250"/>
      <c r="L209" s="238">
        <f>L23+L50+L72+L89+L162+L208</f>
        <v>8397.622000000001</v>
      </c>
      <c r="M209" s="274">
        <f>M23+M50+M72+M89+M162+M208</f>
        <v>2019.3087500000001</v>
      </c>
      <c r="N209" s="238"/>
      <c r="O209" s="238">
        <f>O23+O50+O72+O89+O162+O208</f>
        <v>7105.632749999999</v>
      </c>
      <c r="P209" s="238">
        <f>P23+P50+P72+P89+P162+P208</f>
        <v>17319.066806999996</v>
      </c>
      <c r="Q209" s="238"/>
      <c r="R209" s="60"/>
      <c r="S209" s="169"/>
      <c r="T209" s="169"/>
      <c r="U209" s="169"/>
      <c r="V209" s="169"/>
      <c r="W209" s="169"/>
      <c r="X209" s="169"/>
      <c r="Y209" s="169"/>
      <c r="Z209" s="169"/>
      <c r="AA209" s="169"/>
      <c r="AB209" s="169"/>
      <c r="AC209" s="169"/>
      <c r="AD209" s="169"/>
      <c r="AE209" s="169"/>
      <c r="AF209" s="169"/>
      <c r="AG209" s="169"/>
      <c r="AH209" s="169"/>
      <c r="AI209" s="169"/>
      <c r="AJ209" s="169"/>
      <c r="AK209" s="169"/>
      <c r="AL209" s="169"/>
      <c r="AM209" s="169"/>
      <c r="AN209" s="169"/>
      <c r="AO209" s="169"/>
      <c r="AP209" s="169"/>
      <c r="AQ209" s="169"/>
      <c r="AR209" s="169"/>
      <c r="AS209" s="169"/>
      <c r="AT209" s="169"/>
      <c r="AU209" s="169"/>
      <c r="AV209" s="169"/>
      <c r="AW209" s="169"/>
      <c r="AX209" s="169"/>
      <c r="AY209" s="169"/>
      <c r="AZ209" s="169"/>
      <c r="BA209" s="169"/>
      <c r="BB209" s="169"/>
      <c r="BC209" s="169"/>
      <c r="BD209" s="169"/>
      <c r="BE209" s="169"/>
      <c r="BF209" s="169"/>
      <c r="BG209" s="169"/>
      <c r="BH209" s="169"/>
      <c r="BI209" s="169"/>
      <c r="BJ209" s="169"/>
      <c r="BK209" s="169"/>
      <c r="BL209" s="169"/>
      <c r="BM209" s="169"/>
      <c r="BN209" s="169"/>
      <c r="BO209" s="169"/>
      <c r="BP209" s="169"/>
      <c r="BQ209" s="169"/>
      <c r="BR209" s="169"/>
      <c r="BS209" s="169"/>
      <c r="BT209" s="169"/>
      <c r="BU209" s="169"/>
      <c r="BV209" s="169"/>
      <c r="BW209" s="169"/>
      <c r="BX209" s="169"/>
      <c r="BY209" s="169"/>
      <c r="BZ209" s="169"/>
      <c r="CA209" s="169"/>
      <c r="CB209" s="169"/>
      <c r="CC209" s="169"/>
      <c r="CD209" s="169"/>
      <c r="CE209" s="169"/>
      <c r="CF209" s="169"/>
      <c r="CG209" s="169"/>
      <c r="CH209" s="169"/>
      <c r="CI209" s="169"/>
      <c r="CJ209" s="169"/>
      <c r="CK209" s="169"/>
      <c r="CL209" s="169"/>
      <c r="CM209" s="169"/>
      <c r="CN209" s="169"/>
      <c r="CO209" s="169"/>
      <c r="CP209" s="169"/>
      <c r="CQ209" s="169"/>
      <c r="CR209" s="169"/>
      <c r="CS209" s="169"/>
      <c r="CT209" s="169"/>
      <c r="CU209" s="169"/>
      <c r="CV209" s="169"/>
      <c r="CW209" s="169"/>
      <c r="CX209" s="169"/>
      <c r="CY209" s="169"/>
      <c r="CZ209" s="169"/>
      <c r="DA209" s="169"/>
      <c r="DB209" s="169"/>
      <c r="DC209" s="169"/>
      <c r="DD209" s="169"/>
      <c r="DE209" s="169"/>
      <c r="DF209" s="169"/>
      <c r="DG209" s="169"/>
      <c r="DH209" s="169"/>
      <c r="DI209" s="169"/>
      <c r="DJ209" s="169"/>
      <c r="DK209" s="169"/>
      <c r="DL209" s="169"/>
      <c r="DM209" s="169"/>
      <c r="DN209" s="169"/>
      <c r="DO209" s="169"/>
      <c r="DP209" s="169"/>
      <c r="DQ209" s="169"/>
      <c r="DR209" s="169"/>
      <c r="DS209" s="169"/>
      <c r="DT209" s="169"/>
      <c r="DU209" s="169"/>
      <c r="DV209" s="169"/>
      <c r="DW209" s="169"/>
      <c r="DX209" s="169"/>
      <c r="DY209" s="169"/>
      <c r="DZ209" s="169"/>
      <c r="EA209" s="169"/>
      <c r="EB209" s="169"/>
      <c r="EC209" s="169"/>
      <c r="ED209" s="169"/>
      <c r="EE209" s="169"/>
      <c r="EF209" s="169"/>
      <c r="EG209" s="169"/>
      <c r="EH209" s="169"/>
      <c r="EI209" s="169"/>
      <c r="EJ209" s="169"/>
      <c r="EK209" s="169"/>
      <c r="EL209" s="169"/>
      <c r="EM209" s="169"/>
      <c r="EN209" s="169"/>
    </row>
    <row r="210" spans="1:17" s="169" customFormat="1" ht="9.75">
      <c r="A210" s="255" t="s">
        <v>23</v>
      </c>
      <c r="E210" s="116"/>
      <c r="F210" s="117"/>
      <c r="G210" s="114"/>
      <c r="H210" s="114"/>
      <c r="I210" s="114"/>
      <c r="J210" s="115"/>
      <c r="K210" s="116"/>
      <c r="L210" s="114"/>
      <c r="M210" s="117"/>
      <c r="N210" s="118"/>
      <c r="O210" s="168"/>
      <c r="P210" s="168"/>
      <c r="Q210" s="251" t="s">
        <v>21</v>
      </c>
    </row>
    <row r="211" spans="2:16" s="169" customFormat="1" ht="9.75" outlineLevel="1">
      <c r="B211" s="116" t="s">
        <v>19</v>
      </c>
      <c r="E211" s="116" t="s">
        <v>2</v>
      </c>
      <c r="F211" s="117"/>
      <c r="G211" s="114"/>
      <c r="H211" s="114"/>
      <c r="I211" s="373">
        <v>16</v>
      </c>
      <c r="J211" s="115" t="s">
        <v>67</v>
      </c>
      <c r="K211" s="116">
        <v>1</v>
      </c>
      <c r="L211" s="114">
        <f>$I211*K211</f>
        <v>16</v>
      </c>
      <c r="M211" s="117"/>
      <c r="N211" s="118"/>
      <c r="O211" s="168"/>
      <c r="P211" s="198">
        <f>O211+L211+H211</f>
        <v>16</v>
      </c>
    </row>
    <row r="212" spans="2:16" s="169" customFormat="1" ht="9.75" outlineLevel="1">
      <c r="B212" s="116" t="s">
        <v>20</v>
      </c>
      <c r="E212" s="116" t="s">
        <v>2</v>
      </c>
      <c r="F212" s="117"/>
      <c r="G212" s="114"/>
      <c r="H212" s="114"/>
      <c r="I212" s="373">
        <v>100</v>
      </c>
      <c r="J212" s="115" t="s">
        <v>67</v>
      </c>
      <c r="K212" s="116">
        <v>1</v>
      </c>
      <c r="L212" s="114">
        <f>$I212*K212</f>
        <v>100</v>
      </c>
      <c r="M212" s="117"/>
      <c r="N212" s="118"/>
      <c r="O212" s="168"/>
      <c r="P212" s="198">
        <f>O212+L212+H212</f>
        <v>100</v>
      </c>
    </row>
    <row r="213" spans="2:16" s="169" customFormat="1" ht="9.75" outlineLevel="1">
      <c r="B213" s="116" t="s">
        <v>22</v>
      </c>
      <c r="E213" s="116" t="s">
        <v>2</v>
      </c>
      <c r="F213" s="117"/>
      <c r="G213" s="114"/>
      <c r="H213" s="114"/>
      <c r="I213" s="373">
        <v>25</v>
      </c>
      <c r="J213" s="115" t="s">
        <v>67</v>
      </c>
      <c r="K213" s="116">
        <v>1</v>
      </c>
      <c r="L213" s="114">
        <f>$I213*K213</f>
        <v>25</v>
      </c>
      <c r="M213" s="117"/>
      <c r="N213" s="118"/>
      <c r="O213" s="168"/>
      <c r="P213" s="198">
        <f>O213+L213+H213</f>
        <v>25</v>
      </c>
    </row>
    <row r="214" spans="2:16" s="169" customFormat="1" ht="9.75" outlineLevel="1">
      <c r="B214" s="169" t="s">
        <v>368</v>
      </c>
      <c r="E214" s="116"/>
      <c r="F214" s="117"/>
      <c r="G214" s="114"/>
      <c r="H214" s="114"/>
      <c r="I214" s="373">
        <v>0</v>
      </c>
      <c r="J214" s="115" t="s">
        <v>67</v>
      </c>
      <c r="K214" s="116">
        <v>1</v>
      </c>
      <c r="L214" s="114">
        <f>$I214*K214</f>
        <v>0</v>
      </c>
      <c r="M214" s="117"/>
      <c r="N214" s="118"/>
      <c r="O214" s="168"/>
      <c r="P214" s="198">
        <f>O214+L214+H214</f>
        <v>0</v>
      </c>
    </row>
    <row r="215" spans="1:144" s="227" customFormat="1" ht="9.75">
      <c r="A215" s="227" t="s">
        <v>24</v>
      </c>
      <c r="E215" s="228"/>
      <c r="F215" s="256"/>
      <c r="G215" s="257"/>
      <c r="H215" s="257"/>
      <c r="I215" s="257"/>
      <c r="J215" s="256"/>
      <c r="K215" s="256"/>
      <c r="L215" s="257">
        <f>SUM(L211:L214)</f>
        <v>141</v>
      </c>
      <c r="M215" s="256"/>
      <c r="N215" s="256"/>
      <c r="O215" s="258"/>
      <c r="P215" s="258">
        <f>SUM(P211:P214)</f>
        <v>141</v>
      </c>
      <c r="Q215" s="233">
        <f>Q208+P215</f>
        <v>17460.066806999996</v>
      </c>
      <c r="R215" s="335"/>
      <c r="S215" s="335"/>
      <c r="T215" s="335"/>
      <c r="U215" s="335"/>
      <c r="V215" s="335"/>
      <c r="W215" s="335"/>
      <c r="X215" s="335"/>
      <c r="Y215" s="335"/>
      <c r="Z215" s="335"/>
      <c r="AA215" s="335"/>
      <c r="AB215" s="335"/>
      <c r="AC215" s="335"/>
      <c r="AD215" s="335"/>
      <c r="AE215" s="335"/>
      <c r="AF215" s="335"/>
      <c r="AG215" s="335"/>
      <c r="AH215" s="335"/>
      <c r="AI215" s="335"/>
      <c r="AJ215" s="335"/>
      <c r="AK215" s="335"/>
      <c r="AL215" s="335"/>
      <c r="AM215" s="335"/>
      <c r="AN215" s="335"/>
      <c r="AO215" s="335"/>
      <c r="AP215" s="335"/>
      <c r="AQ215" s="335"/>
      <c r="AR215" s="335"/>
      <c r="AS215" s="335"/>
      <c r="AT215" s="335"/>
      <c r="AU215" s="335"/>
      <c r="AV215" s="335"/>
      <c r="AW215" s="335"/>
      <c r="AX215" s="335"/>
      <c r="AY215" s="335"/>
      <c r="AZ215" s="335"/>
      <c r="BA215" s="335"/>
      <c r="BB215" s="335"/>
      <c r="BC215" s="335"/>
      <c r="BD215" s="335"/>
      <c r="BE215" s="335"/>
      <c r="BF215" s="335"/>
      <c r="BG215" s="335"/>
      <c r="BH215" s="335"/>
      <c r="BI215" s="335"/>
      <c r="BJ215" s="335"/>
      <c r="BK215" s="335"/>
      <c r="BL215" s="335"/>
      <c r="BM215" s="335"/>
      <c r="BN215" s="335"/>
      <c r="BO215" s="335"/>
      <c r="BP215" s="335"/>
      <c r="BQ215" s="335"/>
      <c r="BR215" s="335"/>
      <c r="BS215" s="335"/>
      <c r="BT215" s="335"/>
      <c r="BU215" s="335"/>
      <c r="BV215" s="335"/>
      <c r="BW215" s="335"/>
      <c r="BX215" s="335"/>
      <c r="BY215" s="335"/>
      <c r="BZ215" s="335"/>
      <c r="CA215" s="335"/>
      <c r="CB215" s="335"/>
      <c r="CC215" s="335"/>
      <c r="CD215" s="335"/>
      <c r="CE215" s="335"/>
      <c r="CF215" s="335"/>
      <c r="CG215" s="335"/>
      <c r="CH215" s="335"/>
      <c r="CI215" s="335"/>
      <c r="CJ215" s="335"/>
      <c r="CK215" s="335"/>
      <c r="CL215" s="335"/>
      <c r="CM215" s="335"/>
      <c r="CN215" s="335"/>
      <c r="CO215" s="335"/>
      <c r="CP215" s="335"/>
      <c r="CQ215" s="335"/>
      <c r="CR215" s="335"/>
      <c r="CS215" s="335"/>
      <c r="CT215" s="335"/>
      <c r="CU215" s="335"/>
      <c r="CV215" s="335"/>
      <c r="CW215" s="335"/>
      <c r="CX215" s="335"/>
      <c r="CY215" s="335"/>
      <c r="CZ215" s="335"/>
      <c r="DA215" s="335"/>
      <c r="DB215" s="335"/>
      <c r="DC215" s="335"/>
      <c r="DD215" s="335"/>
      <c r="DE215" s="335"/>
      <c r="DF215" s="335"/>
      <c r="DG215" s="335"/>
      <c r="DH215" s="335"/>
      <c r="DI215" s="335"/>
      <c r="DJ215" s="335"/>
      <c r="DK215" s="335"/>
      <c r="DL215" s="335"/>
      <c r="DM215" s="335"/>
      <c r="DN215" s="335"/>
      <c r="DO215" s="335"/>
      <c r="DP215" s="335"/>
      <c r="DQ215" s="335"/>
      <c r="DR215" s="335"/>
      <c r="DS215" s="335"/>
      <c r="DT215" s="335"/>
      <c r="DU215" s="335"/>
      <c r="DV215" s="335"/>
      <c r="DW215" s="335"/>
      <c r="DX215" s="335"/>
      <c r="DY215" s="335"/>
      <c r="DZ215" s="335"/>
      <c r="EA215" s="335"/>
      <c r="EB215" s="335"/>
      <c r="EC215" s="335"/>
      <c r="ED215" s="335"/>
      <c r="EE215" s="335"/>
      <c r="EF215" s="335"/>
      <c r="EG215" s="335"/>
      <c r="EH215" s="335"/>
      <c r="EI215" s="335"/>
      <c r="EJ215" s="335"/>
      <c r="EK215" s="335"/>
      <c r="EL215" s="335"/>
      <c r="EM215" s="335"/>
      <c r="EN215" s="335"/>
    </row>
    <row r="216" spans="5:17" s="169" customFormat="1" ht="9.75">
      <c r="E216" s="116"/>
      <c r="F216" s="252"/>
      <c r="G216" s="253"/>
      <c r="H216" s="253"/>
      <c r="I216" s="253"/>
      <c r="J216" s="252"/>
      <c r="K216" s="252"/>
      <c r="L216" s="253"/>
      <c r="M216" s="252"/>
      <c r="N216" s="252"/>
      <c r="O216" s="254"/>
      <c r="P216" s="254"/>
      <c r="Q216" s="254"/>
    </row>
    <row r="217" spans="1:18" ht="12">
      <c r="A217"/>
      <c r="B217"/>
      <c r="C217"/>
      <c r="D217"/>
      <c r="E217" s="5"/>
      <c r="F217" s="56"/>
      <c r="G217" s="56"/>
      <c r="H217"/>
      <c r="I217" s="33"/>
      <c r="J217" s="132" t="s">
        <v>187</v>
      </c>
      <c r="K217" s="5"/>
      <c r="L217" s="33"/>
      <c r="M217" s="56"/>
      <c r="N217" s="33"/>
      <c r="O217" s="33"/>
      <c r="P217" s="208">
        <f>Q215</f>
        <v>17460.066806999996</v>
      </c>
      <c r="Q217" s="178"/>
      <c r="R217" s="60"/>
    </row>
    <row r="218" spans="1:18" ht="12">
      <c r="A218"/>
      <c r="B218"/>
      <c r="C218"/>
      <c r="D218"/>
      <c r="E218" s="5"/>
      <c r="F218" s="56"/>
      <c r="G218" s="56"/>
      <c r="H218"/>
      <c r="I218" s="33"/>
      <c r="J218" s="11"/>
      <c r="K218" s="5"/>
      <c r="L218" s="33"/>
      <c r="M218" s="56"/>
      <c r="N218" s="33"/>
      <c r="O218" s="33"/>
      <c r="P218" s="62"/>
      <c r="Q218" s="178"/>
      <c r="R218" s="60"/>
    </row>
    <row r="219" spans="1:18" ht="12">
      <c r="A219"/>
      <c r="B219"/>
      <c r="C219"/>
      <c r="D219"/>
      <c r="E219" s="5"/>
      <c r="F219" s="56"/>
      <c r="G219" s="56"/>
      <c r="H219"/>
      <c r="I219" s="33"/>
      <c r="J219" s="11"/>
      <c r="K219" s="5"/>
      <c r="L219" s="33"/>
      <c r="M219" s="56"/>
      <c r="N219" s="33"/>
      <c r="O219" s="33"/>
      <c r="P219" s="62"/>
      <c r="Q219" s="178"/>
      <c r="R219" s="60"/>
    </row>
    <row r="220" spans="1:18" ht="12">
      <c r="A220"/>
      <c r="B220"/>
      <c r="C220"/>
      <c r="D220"/>
      <c r="E220" s="5"/>
      <c r="F220" s="56"/>
      <c r="G220" s="56"/>
      <c r="H220"/>
      <c r="I220" s="33"/>
      <c r="J220" s="11"/>
      <c r="K220" s="5"/>
      <c r="L220" s="33"/>
      <c r="M220" s="56"/>
      <c r="N220" s="33"/>
      <c r="O220" s="33"/>
      <c r="P220" s="62"/>
      <c r="Q220" s="178"/>
      <c r="R220" s="60"/>
    </row>
    <row r="221" spans="1:18" ht="12">
      <c r="A221"/>
      <c r="B221"/>
      <c r="C221"/>
      <c r="D221"/>
      <c r="E221" s="5"/>
      <c r="F221" s="56"/>
      <c r="G221" s="56"/>
      <c r="H221"/>
      <c r="I221" s="33"/>
      <c r="J221" s="11"/>
      <c r="K221" s="5"/>
      <c r="L221" s="33"/>
      <c r="M221" s="56"/>
      <c r="N221" s="33"/>
      <c r="O221" s="33"/>
      <c r="P221" s="62"/>
      <c r="Q221" s="178"/>
      <c r="R221" s="60"/>
    </row>
    <row r="222" spans="1:18" ht="12">
      <c r="A222"/>
      <c r="B222"/>
      <c r="C222"/>
      <c r="D222"/>
      <c r="E222" s="5"/>
      <c r="F222" s="56"/>
      <c r="G222" s="56"/>
      <c r="H222"/>
      <c r="I222" s="33"/>
      <c r="J222" s="11"/>
      <c r="K222" s="5"/>
      <c r="L222" s="33"/>
      <c r="M222" s="56"/>
      <c r="N222" s="33"/>
      <c r="O222" s="33"/>
      <c r="P222" s="62"/>
      <c r="Q222" s="178"/>
      <c r="R222" s="60"/>
    </row>
  </sheetData>
  <sheetProtection password="ECAF" sheet="1" selectLockedCells="1"/>
  <printOptions/>
  <pageMargins left="0.76" right="0.75" top="0.5" bottom="0.25" header="0.5" footer="0.16"/>
  <pageSetup fitToHeight="0" fitToWidth="1" horizontalDpi="600" verticalDpi="600" orientation="landscape" scale="7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NCSU-ARE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TestGrad</dc:creator>
  <cp:keywords/>
  <dc:description/>
  <cp:lastModifiedBy>Gina Fernandez</cp:lastModifiedBy>
  <cp:lastPrinted>2013-03-15T17:22:44Z</cp:lastPrinted>
  <dcterms:created xsi:type="dcterms:W3CDTF">2003-02-23T22:21:50Z</dcterms:created>
  <dcterms:modified xsi:type="dcterms:W3CDTF">2015-03-30T01:46:51Z</dcterms:modified>
  <cp:category/>
  <cp:version/>
  <cp:contentType/>
  <cp:contentStatus/>
</cp:coreProperties>
</file>